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- Documents AVV -\- Outils AVV\- Copie locale du serveur elastic 22.10.2025\outils_synergies\Outils_SD\Outil_remplacement_3CEp\"/>
    </mc:Choice>
  </mc:AlternateContent>
  <xr:revisionPtr revIDLastSave="0" documentId="13_ncr:1_{7A3016F8-9DF6-4213-ACFF-FEF1A866FE07}" xr6:coauthVersionLast="47" xr6:coauthVersionMax="47" xr10:uidLastSave="{00000000-0000-0000-0000-000000000000}"/>
  <workbookProtection workbookAlgorithmName="SHA-512" workbookHashValue="L6rC33d42TI0i0QthxkwJzurQZ6KqgCF4J24hHKlfxz9MmRoFL03srSpab/QdOibPwclKI0hqkxTtjItsIDfTw==" workbookSaltValue="5C4XThTBqXpOHXsSK1QN+w==" workbookSpinCount="100000" lockStructure="1"/>
  <bookViews>
    <workbookView showHorizontalScroll="0" showVerticalScroll="0" showSheetTabs="0" xWindow="28680" yWindow="-120" windowWidth="29040" windowHeight="16440" xr2:uid="{00000000-000D-0000-FFFF-FFFF00000000}"/>
  </bookViews>
  <sheets>
    <sheet name="Accueil" sheetId="3" r:id="rId1"/>
    <sheet name="Gamme ThemaFast" sheetId="4" r:id="rId2"/>
    <sheet name="Gamme ThemaPlus" sheetId="5" r:id="rId3"/>
    <sheet name="Gamme IsoTwin" sheetId="6" r:id="rId4"/>
    <sheet name="Feuil1" sheetId="2" r:id="rId5"/>
  </sheets>
  <definedNames>
    <definedName name="Colonne_debit_massique" hidden="1">Feuil1!$H$259:$H$276</definedName>
    <definedName name="Ligne_finale_Fast26" hidden="1">Feuil1!$I$324</definedName>
    <definedName name="Ligne_finale_Fast31" hidden="1">Feuil1!$I$325</definedName>
    <definedName name="Ligne_finale_Plus26" hidden="1">Feuil1!$U$324</definedName>
    <definedName name="Ligne_finale_Plus31" hidden="1">Feuil1!$U$325</definedName>
    <definedName name="Ligne_finale_Twin26" hidden="1">Feuil1!$AG$291</definedName>
    <definedName name="Table_debit_massique_IsoTwin_26" hidden="1">Feuil1!$AF$281:$AM$289</definedName>
    <definedName name="Table_debit_massique_ThemaFast" hidden="1">Feuil1!$H$259:$O$276</definedName>
    <definedName name="Table_debit_massique_ThemaFast_26" hidden="1">Feuil1!$H$291:$O$299</definedName>
    <definedName name="Table_debit_massique_ThemaFast_31" hidden="1">Feuil1!$H$311:$O$319</definedName>
    <definedName name="Table_debit_massique_ThemaPlus_26" hidden="1">Feuil1!$T$291:$AA$299</definedName>
    <definedName name="Table_debit_massique_ThemaPlus_31" hidden="1">Feuil1!$T$311:$AA$319</definedName>
    <definedName name="Valeur_debit_massique" hidden="1">Accueil!$C$12</definedName>
    <definedName name="_xlnm.Print_Area" localSheetId="0" hidden="1">Accueil!$A$1:$I$28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3" l="1"/>
  <c r="D17" i="3"/>
  <c r="C17" i="3"/>
  <c r="B5" i="5"/>
  <c r="B5" i="6"/>
  <c r="AG269" i="2"/>
  <c r="AF271" i="2" s="1" a="1"/>
  <c r="AF271" i="2" s="1"/>
  <c r="U279" i="2"/>
  <c r="T301" i="2" s="1" a="1"/>
  <c r="T301" i="2" s="1"/>
  <c r="T311" i="2" s="1" a="1"/>
  <c r="U278" i="2"/>
  <c r="T281" i="2" s="1" a="1"/>
  <c r="T281" i="2" s="1"/>
  <c r="T291" i="2" s="1" a="1"/>
  <c r="B17" i="3"/>
  <c r="B5" i="4"/>
  <c r="AF281" i="2" l="1" a="1"/>
  <c r="AN288" i="2" s="1"/>
  <c r="AB298" i="2"/>
  <c r="T291" i="2"/>
  <c r="AB294" i="2"/>
  <c r="AB293" i="2"/>
  <c r="AB297" i="2"/>
  <c r="AB292" i="2"/>
  <c r="AB299" i="2"/>
  <c r="AB291" i="2"/>
  <c r="AB296" i="2"/>
  <c r="AB295" i="2"/>
  <c r="AB313" i="2"/>
  <c r="AB316" i="2"/>
  <c r="AB315" i="2"/>
  <c r="AB312" i="2"/>
  <c r="AB314" i="2"/>
  <c r="AB319" i="2"/>
  <c r="AB311" i="2"/>
  <c r="AB318" i="2"/>
  <c r="T311" i="2"/>
  <c r="AB317" i="2"/>
  <c r="I279" i="2"/>
  <c r="I278" i="2"/>
  <c r="H281" i="2" s="1" a="1"/>
  <c r="H281" i="2" s="1"/>
  <c r="AN285" i="2" l="1"/>
  <c r="AN289" i="2"/>
  <c r="AN286" i="2"/>
  <c r="AN287" i="2"/>
  <c r="AN283" i="2"/>
  <c r="AF281" i="2"/>
  <c r="AN281" i="2"/>
  <c r="AN282" i="2"/>
  <c r="AN284" i="2"/>
  <c r="U324" i="2"/>
  <c r="U325" i="2"/>
  <c r="H301" i="2" a="1"/>
  <c r="H291" i="2" a="1"/>
  <c r="AG291" i="2" l="1"/>
  <c r="E16" i="5" a="1"/>
  <c r="E16" i="5" s="1"/>
  <c r="E13" i="5" a="1"/>
  <c r="E13" i="5" s="1"/>
  <c r="E11" i="5" a="1"/>
  <c r="E11" i="5" s="1"/>
  <c r="E12" i="5" a="1"/>
  <c r="E12" i="5" s="1"/>
  <c r="E14" i="5" a="1"/>
  <c r="E14" i="5" s="1"/>
  <c r="E10" i="5" a="1"/>
  <c r="E10" i="5" s="1"/>
  <c r="C16" i="5" a="1"/>
  <c r="C16" i="5" s="1"/>
  <c r="C11" i="5" a="1"/>
  <c r="C11" i="5" s="1"/>
  <c r="C12" i="5" a="1"/>
  <c r="C12" i="5" s="1"/>
  <c r="C13" i="5" a="1"/>
  <c r="C13" i="5" s="1"/>
  <c r="C10" i="5" a="1"/>
  <c r="C10" i="5" s="1"/>
  <c r="C14" i="5" a="1"/>
  <c r="C14" i="5" s="1"/>
  <c r="E7" i="5" a="1"/>
  <c r="E7" i="5" s="1"/>
  <c r="E8" i="5" a="1"/>
  <c r="E8" i="5" s="1"/>
  <c r="C7" i="5" a="1"/>
  <c r="C7" i="5" s="1"/>
  <c r="C8" i="5" a="1"/>
  <c r="C8" i="5" s="1"/>
  <c r="H301" i="2"/>
  <c r="H311" i="2" s="1" a="1"/>
  <c r="P291" i="2"/>
  <c r="P292" i="2"/>
  <c r="P293" i="2"/>
  <c r="P295" i="2"/>
  <c r="P294" i="2"/>
  <c r="P298" i="2"/>
  <c r="P296" i="2"/>
  <c r="P297" i="2"/>
  <c r="P299" i="2"/>
  <c r="H291" i="2"/>
  <c r="C11" i="6" l="1" a="1"/>
  <c r="C11" i="6" s="1"/>
  <c r="C10" i="6" a="1"/>
  <c r="C10" i="6" s="1"/>
  <c r="C16" i="6" a="1"/>
  <c r="C16" i="6" s="1"/>
  <c r="C14" i="6" a="1"/>
  <c r="C14" i="6" s="1"/>
  <c r="C13" i="6" a="1"/>
  <c r="C13" i="6" s="1"/>
  <c r="C8" i="6" a="1"/>
  <c r="C8" i="6" s="1"/>
  <c r="C12" i="6" a="1"/>
  <c r="C12" i="6" s="1"/>
  <c r="C7" i="6" a="1"/>
  <c r="C7" i="6" s="1"/>
  <c r="P319" i="2"/>
  <c r="P318" i="2"/>
  <c r="P317" i="2"/>
  <c r="P312" i="2"/>
  <c r="P316" i="2"/>
  <c r="P315" i="2"/>
  <c r="P314" i="2"/>
  <c r="P313" i="2"/>
  <c r="H311" i="2"/>
  <c r="P311" i="2"/>
  <c r="I324" i="2"/>
  <c r="C16" i="4" l="1" a="1"/>
  <c r="C16" i="4" s="1"/>
  <c r="C13" i="4" a="1"/>
  <c r="C13" i="4" s="1"/>
  <c r="C11" i="4" a="1"/>
  <c r="C11" i="4" s="1"/>
  <c r="C8" i="4" a="1"/>
  <c r="C8" i="4" s="1"/>
  <c r="C7" i="4" a="1"/>
  <c r="C7" i="4" s="1"/>
  <c r="C14" i="4" a="1"/>
  <c r="C14" i="4" s="1"/>
  <c r="C12" i="4" a="1"/>
  <c r="C12" i="4" s="1"/>
  <c r="C10" i="4" a="1"/>
  <c r="C10" i="4" s="1"/>
  <c r="I325" i="2"/>
  <c r="E16" i="4" l="1" a="1"/>
  <c r="E16" i="4" s="1"/>
  <c r="E13" i="4" a="1"/>
  <c r="E13" i="4" s="1"/>
  <c r="E11" i="4" a="1"/>
  <c r="E11" i="4" s="1"/>
  <c r="E8" i="4" a="1"/>
  <c r="E8" i="4" s="1"/>
  <c r="E14" i="4" a="1"/>
  <c r="E14" i="4" s="1"/>
  <c r="E12" i="4" a="1"/>
  <c r="E12" i="4" s="1"/>
  <c r="E10" i="4" a="1"/>
  <c r="E10" i="4" s="1"/>
  <c r="E7" i="4" a="1"/>
  <c r="E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<sst xmlns="http://schemas.openxmlformats.org/spreadsheetml/2006/main" count="357" uniqueCount="88">
  <si>
    <t>Qn</t>
  </si>
  <si>
    <t>Qnw</t>
  </si>
  <si>
    <t>Flue gas mass flow @Qmax</t>
  </si>
  <si>
    <t>ThemaFast M-Condens 26-AS/1 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</si>
  <si>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</si>
  <si>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</si>
  <si>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</si>
  <si>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</si>
  <si>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</si>
  <si>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</si>
  <si>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</si>
  <si>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</si>
  <si>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</si>
  <si>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ThemaFast M-Condens 31-AS/1 M</t>
  </si>
  <si>
    <t>8000036372</t>
  </si>
  <si>
    <t>[Option 1 à 9]</t>
  </si>
  <si>
    <t>[g/s]</t>
  </si>
  <si>
    <t>Numéro d'article</t>
  </si>
  <si>
    <t>Produit de remplacement</t>
  </si>
  <si>
    <t>Info pour la plaque signalétique</t>
  </si>
  <si>
    <t>[kW]</t>
  </si>
  <si>
    <t xml:space="preserve">Qmin @ </t>
  </si>
  <si>
    <t>Δpmax,
saf(min)</t>
  </si>
  <si>
    <t>0 Pa</t>
  </si>
  <si>
    <t>Débit massique de la chaudière actuelle</t>
  </si>
  <si>
    <t>g/s</t>
  </si>
  <si>
    <t>D,234 (Opt)</t>
  </si>
  <si>
    <t>Chaudière en remplacement</t>
  </si>
  <si>
    <t>Référence</t>
  </si>
  <si>
    <t>Débit massique</t>
  </si>
  <si>
    <t>Qn [kW]</t>
  </si>
  <si>
    <t>Qsan [kW]</t>
  </si>
  <si>
    <t>Qmin 0Pa [kW]</t>
  </si>
  <si>
    <t>Δpmax,
saf(min)[kW]</t>
  </si>
  <si>
    <t>Δpmax, saf(min)</t>
  </si>
  <si>
    <t>Puissance max chauffage (Qn)</t>
  </si>
  <si>
    <t>Puissance max sanitaire (Qnw)</t>
  </si>
  <si>
    <t>Puissance chauffage à 0 Pa (Qmin 0Pa)</t>
  </si>
  <si>
    <t>Ligne finale 26</t>
  </si>
  <si>
    <t>Ligne finale 31</t>
  </si>
  <si>
    <t>Ligne valide 31</t>
  </si>
  <si>
    <t>Ligne valide 26</t>
  </si>
  <si>
    <t>Outil de sélection chaudière 3 CeP</t>
  </si>
  <si>
    <t>D.234 (Opt)</t>
  </si>
  <si>
    <t>Δpmax,</t>
  </si>
  <si>
    <t>saf(min)</t>
  </si>
  <si>
    <t>ThemaPlus M-Condens 26-AS/1 M</t>
  </si>
  <si>
    <t>5.1</t>
  </si>
  <si>
    <t>7.4</t>
  </si>
  <si>
    <t>18.5</t>
  </si>
  <si>
    <t>20.0</t>
  </si>
  <si>
    <t>9.3</t>
  </si>
  <si>
    <t>24.8</t>
  </si>
  <si>
    <t>11.5</t>
  </si>
  <si>
    <t>26.0</t>
  </si>
  <si>
    <t>12.1</t>
  </si>
  <si>
    <t>23.1</t>
  </si>
  <si>
    <t>10.7</t>
  </si>
  <si>
    <t>25.2</t>
  </si>
  <si>
    <t>11.7</t>
  </si>
  <si>
    <t>22.9</t>
  </si>
  <si>
    <t>10.6</t>
  </si>
  <si>
    <t>23.3</t>
  </si>
  <si>
    <t>10.8</t>
  </si>
  <si>
    <t>23.9</t>
  </si>
  <si>
    <t>11.1</t>
  </si>
  <si>
    <t>24.9</t>
  </si>
  <si>
    <t>11.6</t>
  </si>
  <si>
    <t>ThemaPlus M-Condens 31-AS/1 M</t>
  </si>
  <si>
    <t>6.4</t>
  </si>
  <si>
    <t>29.8</t>
  </si>
  <si>
    <t>13.8</t>
  </si>
  <si>
    <t>31.0</t>
  </si>
  <si>
    <t>14.4</t>
  </si>
  <si>
    <t>28.7</t>
  </si>
  <si>
    <t>13.3</t>
  </si>
  <si>
    <t>29.5</t>
  </si>
  <si>
    <t>13.7</t>
  </si>
  <si>
    <t>29.1</t>
  </si>
  <si>
    <t>13.5</t>
  </si>
  <si>
    <t>28.3</t>
  </si>
  <si>
    <t>13.1</t>
  </si>
  <si>
    <t>26.5</t>
  </si>
  <si>
    <t>12.3</t>
  </si>
  <si>
    <t>Retour</t>
  </si>
  <si>
    <t>IsoTwin M-Condens 26-AS/1 M</t>
  </si>
  <si>
    <t>Outil de sélection chaudière 3CEp</t>
  </si>
  <si>
    <t>Option de réglage D.234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</si>
</sst>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&quot; kW&quot;"/>
    <numFmt numFmtId="165" formatCode="0.0&quot; g/s&quot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3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2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8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2" fillId="3" borderId="0" xfId="0" applyFont="1" applyFill="1" applyAlignment="1">
      <alignment horizontal="center"/>
    </xf>
    <xf numFmtId="164" fontId="1" fillId="4" borderId="0" xfId="0" applyNumberFormat="1" applyFont="1" applyFill="1"/>
    <xf numFmtId="0" fontId="0" fillId="2" borderId="0" xfId="0" applyFill="1" applyProtection="1">
      <protection locked="0"/>
    </xf>
    <xf numFmtId="0" fontId="0" fillId="0" borderId="0" xfId="0" applyProtection="1"/>
    <xf numFmtId="0" fontId="3" fillId="0" borderId="0" xfId="0" applyFont="1"/>
    <xf numFmtId="0" fontId="5" fillId="0" borderId="0" xfId="0" applyFont="1"/>
    <xf numFmtId="0" fontId="0" fillId="0" borderId="0" xfId="0" applyAlignment="1">
      <alignment horizontal="right"/>
    </xf>
    <xf numFmtId="0" fontId="1" fillId="0" borderId="0" xfId="0" applyFont="1"/>
    <xf numFmtId="0" fontId="4" fillId="0" borderId="0" xfId="1" applyProtection="1">
      <protection locked="0" hidden="1"/>
    </xf>
    <xf numFmtId="0" fontId="8" fillId="0" borderId="0" xfId="1" applyFont="1" applyProtection="1">
      <protection locked="0" hidden="1"/>
    </xf>
    <xf numFmtId="0" fontId="0" fillId="0" borderId="0" xfId="0" applyProtection="1">
      <protection hidden="1"/>
    </xf>
    <xf numFmtId="0" fontId="1" fillId="0" borderId="1" xfId="0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7" fillId="0" borderId="1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11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6" fillId="0" borderId="12" xfId="0" applyFont="1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center" vertical="center" wrapText="1"/>
      <protection hidden="1"/>
    </xf>
    <xf numFmtId="0" fontId="6" fillId="0" borderId="15" xfId="0" applyFont="1" applyBorder="1" applyAlignment="1" applyProtection="1">
      <alignment horizontal="center"/>
      <protection hidden="1"/>
    </xf>
    <xf numFmtId="0" fontId="6" fillId="0" borderId="16" xfId="0" applyFont="1" applyBorder="1" applyAlignment="1" applyProtection="1">
      <alignment horizontal="center"/>
      <protection hidden="1"/>
    </xf>
    <xf numFmtId="0" fontId="6" fillId="0" borderId="17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/>
      <protection hidden="1"/>
    </xf>
  </cellXfs>
  <cellStyles count="2">
    <cellStyle name="Lien hypertexte" xfId="1" builtinId="8"/>
    <cellStyle name="Normal" xfId="0" builtinId="0"/>
  </cellStyles>
  <dxfs count="6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C0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351680</xdr:colOff>
      <xdr:row>1</xdr:row>
      <xdr:rowOff>58642</xdr:rowOff>
    </xdr:from>
    <xdr:to>
      <xdr:col>1</xdr:col>
      <xdr:colOff>2191081</xdr:colOff>
      <xdr:row>2</xdr:row>
      <xdr:rowOff>476395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6BFA0ED-E930-2C88-D041-2448D4EA6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1680" y="240859"/>
          <a:ext cx="2630059" cy="580921"/>
        </a:xfrm>
        <a:prstGeom prst="rect">
          <a:avLst/>
        </a:prstGeom>
      </xdr:spPr>
    </xdr:pic>
    <xdr:clientData/>
  </xdr:twoCellAnchor>
  <xdr:twoCellAnchor editAs="oneCell">
    <xdr:from>
      <xdr:col>5</xdr:col>
      <xdr:colOff>364435</xdr:colOff>
      <xdr:row>4</xdr:row>
      <xdr:rowOff>57978</xdr:rowOff>
    </xdr:from>
    <xdr:to>
      <xdr:col>8</xdr:col>
      <xdr:colOff>18021</xdr:colOff>
      <xdr:row>19</xdr:row>
      <xdr:rowOff>95710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08114E5-0969-49CC-8632-17545C51F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71283" y="1192695"/>
          <a:ext cx="2025559" cy="27709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455295</xdr:colOff>
      <xdr:row>1</xdr:row>
      <xdr:rowOff>20956</xdr:rowOff>
    </xdr:from>
    <xdr:to>
      <xdr:col>4</xdr:col>
      <xdr:colOff>2000250</xdr:colOff>
      <xdr:row>2</xdr:row>
      <xdr:rowOff>362905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F291C34-8DF5-485A-9C4B-6AB762F1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79720" y="201931"/>
          <a:ext cx="2324100" cy="5153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455295</xdr:colOff>
      <xdr:row>1</xdr:row>
      <xdr:rowOff>20956</xdr:rowOff>
    </xdr:from>
    <xdr:to>
      <xdr:col>4</xdr:col>
      <xdr:colOff>1996440</xdr:colOff>
      <xdr:row>2</xdr:row>
      <xdr:rowOff>359095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9801347-CE4B-47DA-A624-57E4FB5F6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79720" y="198121"/>
          <a:ext cx="2327910" cy="52673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455295</xdr:colOff>
      <xdr:row>1</xdr:row>
      <xdr:rowOff>20956</xdr:rowOff>
    </xdr:from>
    <xdr:to>
      <xdr:col>4</xdr:col>
      <xdr:colOff>1996440</xdr:colOff>
      <xdr:row>2</xdr:row>
      <xdr:rowOff>359095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AA51E8A-619B-4E46-BF12-5E975155A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79720" y="198121"/>
          <a:ext cx="2335530" cy="526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E360D-5510-4CB9-951D-4633AFF8AA57}">
  <sheetPr codeName="Feuil1">
    <pageSetUpPr fitToPage="1"/>
  </sheetPr>
  <dimension ref="A1:I28"/>
  <sheetViews>
    <sheetView showGridLines="0" showRowColHeaders="0" tabSelected="1" zoomScale="115" zoomScaleNormal="115" workbookViewId="0">
      <selection activeCell="C12" sqref="C12"/>
    </sheetView>
  </sheetViews>
  <sheetFormatPr baseColWidth="10" defaultColWidth="0" defaultRowHeight="14.4" zeroHeight="1" x14ac:dyDescent="0.3"/>
  <cols>
    <col min="1" max="1" width="11.5546875" customWidth="1"/>
    <col min="2" max="2" width="39.77734375" customWidth="1"/>
    <col min="3" max="5" width="23.77734375" customWidth="1"/>
    <col min="6" max="9" width="11.5546875" customWidth="1"/>
    <col min="10" max="16384" width="11.5546875" hidden="1"/>
  </cols>
  <sheetData>
    <row r="1" spans="2:5" x14ac:dyDescent="0.3"/>
    <row r="2" spans="2:5" x14ac:dyDescent="0.3"/>
    <row r="3" spans="2:5" ht="46.2" x14ac:dyDescent="0.85">
      <c r="C3" s="7" t="s">
        <v>86</v>
      </c>
    </row>
    <row r="4" spans="2:5" x14ac:dyDescent="0.3"/>
    <row r="5" spans="2:5" x14ac:dyDescent="0.3"/>
    <row r="6" spans="2:5" x14ac:dyDescent="0.3"/>
    <row r="7" spans="2:5" x14ac:dyDescent="0.3"/>
    <row r="8" spans="2:5" x14ac:dyDescent="0.3">
      <c r="E8" s="6"/>
    </row>
    <row r="9" spans="2:5" x14ac:dyDescent="0.3"/>
    <row r="10" spans="2:5" x14ac:dyDescent="0.3"/>
    <row r="11" spans="2:5" x14ac:dyDescent="0.3"/>
    <row r="12" spans="2:5" x14ac:dyDescent="0.3">
      <c r="B12" t="s">
        <v>24</v>
      </c>
      <c r="C12" s="5"/>
      <c r="D12" t="s">
        <v>25</v>
      </c>
    </row>
    <row r="13" spans="2:5" x14ac:dyDescent="0.3"/>
    <row r="14" spans="2:5" x14ac:dyDescent="0.3"/>
    <row r="15" spans="2:5" x14ac:dyDescent="0.3"/>
    <row r="16" spans="2:5" x14ac:dyDescent="0.3"/>
    <row r="17" spans="2:5" x14ac:dyDescent="0.3">
      <c r="B17" t="str">
        <f>IF(Valeur_debit_massique&lt;&gt;"","Choisir la gamme","")</f>
        <v/>
      </c>
      <c r="C17" s="11" t="str">
        <f>IF(Valeur_debit_massique&lt;&gt;"","ThemaFast M-Condens","")</f>
        <v/>
      </c>
      <c r="D17" s="11" t="str">
        <f>IF(Valeur_debit_massique&lt;&gt;"","ThemaPlus M-Condens","")</f>
        <v/>
      </c>
      <c r="E17" s="11" t="str">
        <f>IF(Valeur_debit_massique&lt;&gt;"","IsoTwin M-Condens","")</f>
        <v/>
      </c>
    </row>
    <row r="18" spans="2:5" x14ac:dyDescent="0.3"/>
    <row r="19" spans="2:5" x14ac:dyDescent="0.3"/>
    <row r="20" spans="2:5" x14ac:dyDescent="0.3"/>
    <row r="21" spans="2:5" x14ac:dyDescent="0.3"/>
    <row r="22" spans="2:5" x14ac:dyDescent="0.3"/>
    <row r="23" spans="2:5" x14ac:dyDescent="0.3"/>
    <row r="24" spans="2:5" x14ac:dyDescent="0.3"/>
    <row r="25" spans="2:5" x14ac:dyDescent="0.3"/>
    <row r="26" spans="2:5" x14ac:dyDescent="0.3"/>
    <row r="27" spans="2:5" x14ac:dyDescent="0.3"/>
    <row r="28" spans="2:5" x14ac:dyDescent="0.3"/>
  </sheetData>
  <sheetProtection algorithmName="SHA-512" hashValue="UWqjbBt1bJwqwIY8ZIgN8ppvnM5mSmrrCN8X4qzsoynQxWJnJf5CJZ8xJBjtSjdBnlVwfr0PlZAjOdaYUlSs+w==" saltValue="7h3JiAnBukJvNdJ0RYPpWA==" spinCount="100000" sheet="1" objects="1" scenarios="1" selectLockedCells="1"/>
  <conditionalFormatting sqref="B12">
    <cfRule type="expression" dxfId="5" priority="1">
      <formula>$C$12=""</formula>
    </cfRule>
  </conditionalFormatting>
  <hyperlinks>
    <hyperlink ref="C17" location="'Gamme ThemaFast'!A1" display="'Gamme ThemaFast'!A1" xr:uid="{F859B420-BFEC-4D10-B716-64FAAA49FC77}"/>
    <hyperlink ref="D17" location="'Gamme ThemaPlus'!A1" display="'Gamme ThemaPlus'!A1" xr:uid="{D0258E70-C84D-48B3-8C01-8725741FD5DE}"/>
    <hyperlink ref="E17" location="'Gamme IsoTwin'!A1" display="'Gamme IsoTwin'!A1" xr:uid="{11355734-82D0-42C8-80A6-B4CF2C98667B}"/>
  </hyperlinks>
  <pageMargins left="0.7" right="0.7" top="0.75" bottom="0.75" header="0.3" footer="0.3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230B8-2602-4AF8-BEB3-5CFEA85066E1}">
  <sheetPr codeName="Feuil3">
    <pageSetUpPr fitToPage="1"/>
  </sheetPr>
  <dimension ref="B3:E19"/>
  <sheetViews>
    <sheetView showGridLines="0" showRowColHeaders="0" zoomScaleNormal="100" workbookViewId="0">
      <selection activeCell="B19" sqref="B19"/>
    </sheetView>
  </sheetViews>
  <sheetFormatPr baseColWidth="10" defaultRowHeight="14.4" x14ac:dyDescent="0.3"/>
  <cols>
    <col min="1" max="1" width="6.77734375" customWidth="1"/>
    <col min="2" max="2" width="34.109375" bestFit="1" customWidth="1"/>
    <col min="3" max="3" width="30.77734375" customWidth="1"/>
    <col min="5" max="5" width="30.77734375" customWidth="1"/>
  </cols>
  <sheetData>
    <row r="3" spans="2:5" ht="31.2" x14ac:dyDescent="0.6">
      <c r="B3" s="8" t="s">
        <v>42</v>
      </c>
    </row>
    <row r="5" spans="2:5" x14ac:dyDescent="0.3">
      <c r="B5" t="str">
        <f>"Pour un débit massique de la chaudière actuelle de "&amp;Valeur_debit_massique&amp;" g/s, voici la proposition de chaudière ThemaFast"</f>
        <v>Pour un débit massique de la chaudière actuelle de  g/s, voici la proposition de chaudière ThemaFast</v>
      </c>
    </row>
    <row r="7" spans="2:5" x14ac:dyDescent="0.3">
      <c r="B7" t="s">
        <v>27</v>
      </c>
      <c r="C7" s="10" t="str" cm="1">
        <f t="array" aca="1" ref="C7" ca="1">IF(ISNA(Ligne_finale_Fast26),"Pas de ThemaFast 26 disponible",INDEX(Table_debit_massique_ThemaFast_26,Ligne_finale_Fast26,2))</f>
        <v>ThemaFast M-Condens 26-AS/1 M</v>
      </c>
      <c r="E7" s="10" t="str" cm="1">
        <f t="array" aca="1" ref="E7" ca="1">IF(ISNA(Ligne_finale_Fast31),"Pas de ThemaFast 31 disponible",INDEX(Table_debit_massique_ThemaFast_31,Ligne_finale_Fast31,2))</f>
        <v>Pas de ThemaFast 31 disponible</v>
      </c>
    </row>
    <row r="8" spans="2:5" x14ac:dyDescent="0.3">
      <c r="B8" t="s">
        <v>28</v>
      </c>
      <c r="C8" s="9" cm="1">
        <f t="array" aca="1" ref="C8" ca="1">IF(ISNA(Ligne_finale_Fast26),"",INDEX(Table_debit_massique_ThemaFast_26,Ligne_finale_Fast26,3))</f>
        <v>8000036371</v>
      </c>
      <c r="E8" s="9" t="str" cm="1">
        <f t="array" aca="1" ref="E8" ca="1">IF(ISNA(Ligne_finale_Fast31),"",INDEX(Table_debit_massique_ThemaFast_31,Ligne_finale_Fast31,3))</f>
        <v/>
      </c>
    </row>
    <row r="10" spans="2:5" x14ac:dyDescent="0.3">
      <c r="B10" t="s">
        <v>34</v>
      </c>
      <c r="C10" s="1" cm="1">
        <f t="array" aca="1" ref="C10" ca="1">IF(ISNA(Ligne_finale_Fast26),"",INDEX(Table_debit_massique_ThemaFast_26,Ligne_finale_Fast26,5))</f>
        <v>5.0999999999999996</v>
      </c>
      <c r="E10" s="1" t="str" cm="1">
        <f t="array" aca="1" ref="E10" ca="1">IF(ISNA(Ligne_finale_Fast31),"",INDEX(Table_debit_massique_ThemaFast_31,Ligne_finale_Fast31,5))</f>
        <v/>
      </c>
    </row>
    <row r="11" spans="2:5" x14ac:dyDescent="0.3">
      <c r="B11" t="s">
        <v>37</v>
      </c>
      <c r="C11" s="1" cm="1">
        <f t="array" aca="1" ref="C11" ca="1">IF(ISNA(Ligne_finale_Fast26),"",INDEX(Table_debit_massique_ThemaFast_26,Ligne_finale_Fast26,6))</f>
        <v>7.4</v>
      </c>
      <c r="E11" s="1" t="str" cm="1">
        <f t="array" aca="1" ref="E11" ca="1">IF(ISNA(Ligne_finale_Fast31),"",INDEX(Table_debit_massique_ThemaFast_31,Ligne_finale_Fast31,6))</f>
        <v/>
      </c>
    </row>
    <row r="12" spans="2:5" x14ac:dyDescent="0.3">
      <c r="B12" t="s">
        <v>35</v>
      </c>
      <c r="C12" s="1" cm="1">
        <f t="array" aca="1" ref="C12" ca="1">IF(ISNA(Ligne_finale_Fast26),"",INDEX(Table_debit_massique_ThemaFast_26,Ligne_finale_Fast26,7))</f>
        <v>18.5</v>
      </c>
      <c r="E12" s="1" t="str" cm="1">
        <f t="array" aca="1" ref="E12" ca="1">IF(ISNA(Ligne_finale_Fast31),"",INDEX(Table_debit_massique_ThemaFast_31,Ligne_finale_Fast31,7))</f>
        <v/>
      </c>
    </row>
    <row r="13" spans="2:5" x14ac:dyDescent="0.3">
      <c r="B13" t="s">
        <v>36</v>
      </c>
      <c r="C13" s="4" cm="1">
        <f t="array" aca="1" ref="C13" ca="1">IF(ISNA(Ligne_finale_Fast26),"",INDEX(Table_debit_massique_ThemaFast_26,Ligne_finale_Fast26,8))</f>
        <v>26</v>
      </c>
      <c r="E13" s="4" t="str" cm="1">
        <f t="array" aca="1" ref="E13" ca="1">IF(ISNA(Ligne_finale_Fast31),"",INDEX(Table_debit_massique_ThemaFast_31,Ligne_finale_Fast31,8))</f>
        <v/>
      </c>
    </row>
    <row r="14" spans="2:5" x14ac:dyDescent="0.3">
      <c r="B14" t="s">
        <v>29</v>
      </c>
      <c r="C14" s="2" cm="1">
        <f t="array" aca="1" ref="C14" ca="1">IF(ISNA(Ligne_finale_Fast26),"",INDEX(Table_debit_massique_ThemaFast_26,Ligne_finale_Fast26,1))</f>
        <v>11.6</v>
      </c>
      <c r="E14" s="2" t="str" cm="1">
        <f t="array" aca="1" ref="E14" ca="1">IF(ISNA(Ligne_finale_Fast31),"",INDEX(Table_debit_massique_ThemaFast_31,Ligne_finale_Fast31,1))</f>
        <v/>
      </c>
    </row>
    <row r="16" spans="2:5" x14ac:dyDescent="0.3">
      <c r="B16" s="10" t="s">
        <v>87</v>
      </c>
      <c r="C16" s="3" t="str" cm="1">
        <f t="array" aca="1" ref="C16" ca="1">IF(ISNA(Ligne_finale_Fast26),"",INDEX(Table_debit_massique_ThemaFast_26,Ligne_finale_Fast26,4))</f>
        <v>3</v>
      </c>
      <c r="E16" s="3" t="str" cm="1">
        <f t="array" aca="1" ref="E16" ca="1">IF(ISNA(Ligne_finale_Fast31),"",INDEX(Table_debit_massique_ThemaFast_31,Ligne_finale_Fast31,4))</f>
        <v/>
      </c>
    </row>
    <row r="19" spans="2:2" ht="31.2" x14ac:dyDescent="0.6">
      <c r="B19" s="12" t="s">
        <v>84</v>
      </c>
    </row>
  </sheetData>
  <sheetProtection algorithmName="SHA-512" hashValue="QxIFtewu0/u6tpmkHR8UKugp/x1cyDBgOWVhhQHi+zB7UZDxNq0O3EaQeHCwF2WvjGgpK59IzJb3GPmY7EtVRg==" saltValue="3g+BqIbfS0CcUBcDFLT3jA==" spinCount="100000" sheet="1" objects="1" scenarios="1" selectLockedCells="1"/>
  <conditionalFormatting sqref="C13 C16">
    <cfRule type="expression" dxfId="4" priority="2">
      <formula>$C$8=""</formula>
    </cfRule>
  </conditionalFormatting>
  <conditionalFormatting sqref="E13 E16">
    <cfRule type="expression" dxfId="3" priority="1">
      <formula>$E$8=""</formula>
    </cfRule>
  </conditionalFormatting>
  <hyperlinks>
    <hyperlink ref="B19" location="Accueil!A1" display="Retour" xr:uid="{79276A4E-CD11-44DE-89E4-31C36061075C}"/>
  </hyperlinks>
  <pageMargins left="0.7" right="0.7" top="0.75" bottom="0.75" header="0.3" footer="0.3"/>
  <pageSetup paperSize="9" scale="76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11330-80EC-47FE-B19D-50E7171398C8}">
  <sheetPr codeName="Feuil4"/>
  <dimension ref="B3:E19"/>
  <sheetViews>
    <sheetView showGridLines="0" showRowColHeaders="0" workbookViewId="0">
      <selection activeCell="B19" sqref="B19"/>
    </sheetView>
  </sheetViews>
  <sheetFormatPr baseColWidth="10" defaultRowHeight="14.4" x14ac:dyDescent="0.3"/>
  <cols>
    <col min="1" max="1" width="6.77734375" customWidth="1"/>
    <col min="2" max="2" width="34.109375" bestFit="1" customWidth="1"/>
    <col min="3" max="3" width="30.77734375" customWidth="1"/>
    <col min="5" max="5" width="30.77734375" customWidth="1"/>
  </cols>
  <sheetData>
    <row r="3" spans="2:5" ht="31.2" x14ac:dyDescent="0.6">
      <c r="B3" s="8" t="s">
        <v>42</v>
      </c>
    </row>
    <row r="5" spans="2:5" x14ac:dyDescent="0.3">
      <c r="B5" t="str">
        <f>"Pour un débit massique de la chaudière actuelle de "&amp;Valeur_debit_massique&amp;" g/s, voici la proposition de chaudière ThemaPlus"</f>
        <v>Pour un débit massique de la chaudière actuelle de  g/s, voici la proposition de chaudière ThemaPlus</v>
      </c>
    </row>
    <row r="7" spans="2:5" x14ac:dyDescent="0.3">
      <c r="B7" t="s">
        <v>27</v>
      </c>
      <c r="C7" s="10" t="str" cm="1">
        <f t="array" aca="1" ref="C7" ca="1">IF(ISNA(Ligne_finale_Plus26),"Pas de ThemaPlus 26 disponible",INDEX(Table_debit_massique_ThemaPlus_26,Ligne_finale_Plus26,2))</f>
        <v>ThemaPlus M-Condens 26-AS/1 M</v>
      </c>
      <c r="E7" s="10" t="str" cm="1">
        <f t="array" aca="1" ref="E7" ca="1">IF(ISNA(Ligne_finale_Plus31),"Pas de ThemaPlus 31 disponible",INDEX(Table_debit_massique_ThemaPlus_31,Ligne_finale_Plus31,2))</f>
        <v>Pas de ThemaPlus 31 disponible</v>
      </c>
    </row>
    <row r="8" spans="2:5" x14ac:dyDescent="0.3">
      <c r="B8" t="s">
        <v>28</v>
      </c>
      <c r="C8" cm="1">
        <f t="array" aca="1" ref="C8" ca="1">IF(ISNA(Ligne_finale_Plus26),"",INDEX(Table_debit_massique_ThemaPlus_26,Ligne_finale_Plus26,3))</f>
        <v>8000036365</v>
      </c>
      <c r="E8" s="9" t="str" cm="1">
        <f t="array" aca="1" ref="E8" ca="1">IF(ISNA(Ligne_finale_Plus31),"",INDEX(Table_debit_massique_ThemaPlus_31,Ligne_finale_Plus31,3))</f>
        <v/>
      </c>
    </row>
    <row r="10" spans="2:5" x14ac:dyDescent="0.3">
      <c r="B10" t="s">
        <v>34</v>
      </c>
      <c r="C10" s="1" cm="1">
        <f t="array" aca="1" ref="C10" ca="1">IF(ISNA(Ligne_finale_Plus26),"",INDEX(Table_debit_massique_ThemaPlus_26,Ligne_finale_Plus26,5))</f>
        <v>5.0999999999999996</v>
      </c>
      <c r="E10" s="1" t="str" cm="1">
        <f t="array" aca="1" ref="E10" ca="1">IF(ISNA(Ligne_finale_Plus31),"",INDEX(Table_debit_massique_ThemaPlus_31,Ligne_finale_Plus31,5))</f>
        <v/>
      </c>
    </row>
    <row r="11" spans="2:5" x14ac:dyDescent="0.3">
      <c r="B11" t="s">
        <v>37</v>
      </c>
      <c r="C11" s="1" cm="1">
        <f t="array" aca="1" ref="C11" ca="1">IF(ISNA(Ligne_finale_Plus26),"",INDEX(Table_debit_massique_ThemaPlus_26,Ligne_finale_Plus26,6))</f>
        <v>7.4</v>
      </c>
      <c r="E11" s="1" t="str" cm="1">
        <f t="array" aca="1" ref="E11" ca="1">IF(ISNA(Ligne_finale_Plus31),"",INDEX(Table_debit_massique_ThemaPlus_31,Ligne_finale_Plus31,6))</f>
        <v/>
      </c>
    </row>
    <row r="12" spans="2:5" x14ac:dyDescent="0.3">
      <c r="B12" t="s">
        <v>35</v>
      </c>
      <c r="C12" s="1" cm="1">
        <f t="array" aca="1" ref="C12" ca="1">IF(ISNA(Ligne_finale_Plus26),"",INDEX(Table_debit_massique_ThemaPlus_26,Ligne_finale_Plus26,7))</f>
        <v>18.5</v>
      </c>
      <c r="E12" s="1" t="str" cm="1">
        <f t="array" aca="1" ref="E12" ca="1">IF(ISNA(Ligne_finale_Plus31),"",INDEX(Table_debit_massique_ThemaPlus_31,Ligne_finale_Plus31,7))</f>
        <v/>
      </c>
    </row>
    <row r="13" spans="2:5" x14ac:dyDescent="0.3">
      <c r="B13" t="s">
        <v>36</v>
      </c>
      <c r="C13" s="4" cm="1">
        <f t="array" aca="1" ref="C13" ca="1">IF(ISNA(Ligne_finale_Plus26),"",INDEX(Table_debit_massique_ThemaPlus_26,Ligne_finale_Plus26,8))</f>
        <v>26</v>
      </c>
      <c r="E13" s="4" t="str" cm="1">
        <f t="array" aca="1" ref="E13" ca="1">IF(ISNA(Ligne_finale_Plus31),"",INDEX(Table_debit_massique_ThemaPlus_31,Ligne_finale_Plus31,8))</f>
        <v/>
      </c>
    </row>
    <row r="14" spans="2:5" x14ac:dyDescent="0.3">
      <c r="B14" t="s">
        <v>29</v>
      </c>
      <c r="C14" s="2" cm="1">
        <f t="array" aca="1" ref="C14" ca="1">IF(ISNA(Ligne_finale_Plus26),"",INDEX(Table_debit_massique_ThemaPlus_26,Ligne_finale_Plus26,1))</f>
        <v>12.1</v>
      </c>
      <c r="E14" s="2" t="str" cm="1">
        <f t="array" aca="1" ref="E14" ca="1">IF(ISNA(Ligne_finale_Plus31),"",INDEX(Table_debit_massique_ThemaPlus_31,Ligne_finale_Plus31,1))</f>
        <v/>
      </c>
    </row>
    <row r="16" spans="2:5" x14ac:dyDescent="0.3">
      <c r="B16" s="10" t="s">
        <v>87</v>
      </c>
      <c r="C16" s="3" cm="1">
        <f t="array" aca="1" ref="C16" ca="1">IF(ISNA(Ligne_finale_Plus26),"",INDEX(Table_debit_massique_ThemaPlus_26,Ligne_finale_Plus26,4))</f>
        <v>3</v>
      </c>
      <c r="E16" s="3" t="str" cm="1">
        <f t="array" aca="1" ref="E16" ca="1">IF(ISNA(Ligne_finale_Plus31),"",INDEX(Table_debit_massique_ThemaPlus_31,Ligne_finale_Plus31,4))</f>
        <v/>
      </c>
    </row>
    <row r="19" spans="2:2" ht="31.2" x14ac:dyDescent="0.6">
      <c r="B19" s="12" t="s">
        <v>84</v>
      </c>
    </row>
  </sheetData>
  <sheetProtection algorithmName="SHA-512" hashValue="gZQOgX6RgdIp2M7Fp2FfW7rxbTwAFyujWB+44kAt2zJZ9ykVxknFLGBX2rPFfgkKBalkNisAKyzv8DQzcpO4jQ==" saltValue="xeKBERML5C0oqCzS2M+rZQ==" spinCount="100000" sheet="1" objects="1" scenarios="1" selectLockedCells="1"/>
  <conditionalFormatting sqref="C13 C16">
    <cfRule type="expression" dxfId="2" priority="1">
      <formula>$C$8=""</formula>
    </cfRule>
  </conditionalFormatting>
  <conditionalFormatting sqref="E13 E16">
    <cfRule type="expression" dxfId="1" priority="2">
      <formula>$E$8=""</formula>
    </cfRule>
  </conditionalFormatting>
  <hyperlinks>
    <hyperlink ref="B19" location="Accueil!A1" display="Retour" xr:uid="{D5039F58-3ECC-41D3-8CF2-269632534A2D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D4014-DF6A-4203-9208-AC9425D61D63}">
  <sheetPr codeName="Feuil5"/>
  <dimension ref="B3:C19"/>
  <sheetViews>
    <sheetView showGridLines="0" showRowColHeaders="0" workbookViewId="0">
      <selection activeCell="B19" sqref="B19"/>
    </sheetView>
  </sheetViews>
  <sheetFormatPr baseColWidth="10" defaultRowHeight="14.4" x14ac:dyDescent="0.3"/>
  <cols>
    <col min="1" max="1" width="6.77734375" customWidth="1"/>
    <col min="2" max="2" width="34.109375" bestFit="1" customWidth="1"/>
    <col min="3" max="3" width="30.77734375" customWidth="1"/>
    <col min="5" max="5" width="30.77734375" customWidth="1"/>
  </cols>
  <sheetData>
    <row r="3" spans="2:3" ht="31.2" x14ac:dyDescent="0.6">
      <c r="B3" s="8" t="s">
        <v>42</v>
      </c>
    </row>
    <row r="5" spans="2:3" x14ac:dyDescent="0.3">
      <c r="B5" t="str">
        <f>"Pour un débit massique de la chaudière actuelle de "&amp;Valeur_debit_massique&amp;" g/s, voici la proposition de chaudière IsoTwin"</f>
        <v>Pour un débit massique de la chaudière actuelle de  g/s, voici la proposition de chaudière IsoTwin</v>
      </c>
    </row>
    <row r="7" spans="2:3" x14ac:dyDescent="0.3">
      <c r="B7" t="s">
        <v>27</v>
      </c>
      <c r="C7" s="10" t="str" cm="1">
        <f t="array" aca="1" ref="C7" ca="1">IF(ISNA(Ligne_finale_Twin26),"Pas d'IsoTwin 26 disponible",INDEX(Table_debit_massique_IsoTwin_26,Ligne_finale_Twin26,2))</f>
        <v>IsoTwin M-Condens 26-AS/1 M</v>
      </c>
    </row>
    <row r="8" spans="2:3" x14ac:dyDescent="0.3">
      <c r="B8" t="s">
        <v>28</v>
      </c>
      <c r="C8" cm="1">
        <f t="array" aca="1" ref="C8" ca="1">IF(ISNA(Ligne_finale_Twin26),"",INDEX(Table_debit_massique_IsoTwin_26,Ligne_finale_Twin26,3))</f>
        <v>8000036364</v>
      </c>
    </row>
    <row r="10" spans="2:3" x14ac:dyDescent="0.3">
      <c r="B10" t="s">
        <v>34</v>
      </c>
      <c r="C10" s="1" cm="1">
        <f t="array" aca="1" ref="C10" ca="1">IF(ISNA(Ligne_finale_Twin26),"",INDEX(Table_debit_massique_IsoTwin_26,Ligne_finale_Twin26,5))</f>
        <v>5.0999999999999996</v>
      </c>
    </row>
    <row r="11" spans="2:3" x14ac:dyDescent="0.3">
      <c r="B11" t="s">
        <v>37</v>
      </c>
      <c r="C11" s="1" cm="1">
        <f t="array" aca="1" ref="C11" ca="1">IF(ISNA(Ligne_finale_Twin26),"",INDEX(Table_debit_massique_IsoTwin_26,Ligne_finale_Twin26,6))</f>
        <v>7.4</v>
      </c>
    </row>
    <row r="12" spans="2:3" x14ac:dyDescent="0.3">
      <c r="B12" t="s">
        <v>35</v>
      </c>
      <c r="C12" s="1" cm="1">
        <f t="array" aca="1" ref="C12" ca="1">IF(ISNA(Ligne_finale_Twin26),"",INDEX(Table_debit_massique_IsoTwin_26,Ligne_finale_Twin26,7))</f>
        <v>18.5</v>
      </c>
    </row>
    <row r="13" spans="2:3" x14ac:dyDescent="0.3">
      <c r="B13" t="s">
        <v>36</v>
      </c>
      <c r="C13" s="4" cm="1">
        <f t="array" aca="1" ref="C13" ca="1">IF(ISNA(Ligne_finale_Twin26),"",INDEX(Table_debit_massique_IsoTwin_26,Ligne_finale_Twin26,8))</f>
        <v>26</v>
      </c>
    </row>
    <row r="14" spans="2:3" x14ac:dyDescent="0.3">
      <c r="B14" t="s">
        <v>29</v>
      </c>
      <c r="C14" s="2" cm="1">
        <f t="array" aca="1" ref="C14" ca="1">IF(ISNA(Ligne_finale_Twin26),"",INDEX(Table_debit_massique_IsoTwin_26,Ligne_finale_Twin26,1))</f>
        <v>12.1</v>
      </c>
    </row>
    <row r="16" spans="2:3" x14ac:dyDescent="0.3">
      <c r="B16" s="10" t="s">
        <v>87</v>
      </c>
      <c r="C16" s="3" cm="1">
        <f t="array" aca="1" ref="C16" ca="1">IF(ISNA(Ligne_finale_Twin26),"",INDEX(Table_debit_massique_IsoTwin_26,Ligne_finale_Twin26,4))</f>
        <v>3</v>
      </c>
    </row>
    <row r="19" spans="2:2" ht="31.2" x14ac:dyDescent="0.6">
      <c r="B19" s="12" t="s">
        <v>84</v>
      </c>
    </row>
  </sheetData>
  <sheetProtection algorithmName="SHA-512" hashValue="mDRisfiy5g4YCYPGo4C/vsCDn5XwvXgSr33INeCOqJYVlbbRGYPwufwgckB9luHI/zrl+VsecNXDLxr7ihw2/Q==" saltValue="Pb4WgDaYfoAiULV/WvsHwQ==" spinCount="100000" sheet="1" objects="1" scenarios="1" selectLockedCells="1"/>
  <conditionalFormatting sqref="C13 C16">
    <cfRule type="expression" dxfId="0" priority="1">
      <formula>$C$8=""</formula>
    </cfRule>
  </conditionalFormatting>
  <hyperlinks>
    <hyperlink ref="B19" location="Accueil!A1" display="Retour" xr:uid="{F4C2B2A3-7CAC-492E-B137-03496BB22F85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ED1B3-CD72-4D28-9966-A9EC69CE1F72}">
  <sheetPr codeName="Feuil2"/>
  <dimension ref="A1:AN325"/>
  <sheetViews>
    <sheetView showGridLines="0" showRowColHeaders="0" zoomScale="70" zoomScaleNormal="70" workbookViewId="0">
      <selection activeCell="G40" sqref="G40"/>
    </sheetView>
  </sheetViews>
  <sheetFormatPr baseColWidth="10" defaultRowHeight="14.4" x14ac:dyDescent="0.3"/>
  <cols>
    <col min="1" max="1" width="30.109375" style="13" bestFit="1" customWidth="1"/>
    <col min="2" max="2" width="13.88671875" style="13" bestFit="1" customWidth="1"/>
    <col min="3" max="3" width="12.44140625" style="13" customWidth="1"/>
    <col min="4" max="4" width="10.21875" style="13" customWidth="1"/>
    <col min="5" max="5" width="14.109375" style="13" customWidth="1"/>
    <col min="6" max="6" width="5.21875" style="13" bestFit="1" customWidth="1"/>
    <col min="7" max="7" width="5.21875" style="13" customWidth="1"/>
    <col min="8" max="8" width="14.5546875" style="13" customWidth="1"/>
    <col min="9" max="9" width="30.44140625" style="13" bestFit="1" customWidth="1"/>
    <col min="10" max="10" width="15.44140625" style="13" customWidth="1"/>
    <col min="11" max="20" width="11.5546875" style="13"/>
    <col min="21" max="21" width="39.88671875" style="13" bestFit="1" customWidth="1"/>
    <col min="22" max="22" width="16" style="13" bestFit="1" customWidth="1"/>
    <col min="23" max="32" width="11.5546875" style="13"/>
    <col min="33" max="33" width="35.6640625" style="13" bestFit="1" customWidth="1"/>
    <col min="34" max="34" width="16" style="13" bestFit="1" customWidth="1"/>
    <col min="35" max="16384" width="11.5546875" style="13"/>
  </cols>
  <sheetData>
    <row r="1" s="13" customFormat="1" x14ac:dyDescent="0.3"/>
    <row r="2" s="13" customFormat="1" x14ac:dyDescent="0.3"/>
    <row r="3" s="13" customFormat="1" x14ac:dyDescent="0.3"/>
    <row r="4" s="13" customFormat="1" x14ac:dyDescent="0.3"/>
    <row r="5" s="13" customFormat="1" x14ac:dyDescent="0.3"/>
    <row r="6" s="13" customFormat="1" x14ac:dyDescent="0.3"/>
    <row r="7" s="13" customFormat="1" x14ac:dyDescent="0.3"/>
    <row r="8" s="13" customFormat="1" x14ac:dyDescent="0.3"/>
    <row r="9" s="13" customFormat="1" x14ac:dyDescent="0.3"/>
    <row r="10" s="13" customFormat="1" x14ac:dyDescent="0.3"/>
    <row r="11" s="13" customFormat="1" x14ac:dyDescent="0.3"/>
    <row r="12" s="13" customFormat="1" x14ac:dyDescent="0.3"/>
    <row r="13" s="13" customFormat="1" x14ac:dyDescent="0.3"/>
    <row r="14" s="13" customFormat="1" x14ac:dyDescent="0.3"/>
    <row r="15" s="13" customFormat="1" x14ac:dyDescent="0.3"/>
    <row r="16" s="13" customFormat="1" x14ac:dyDescent="0.3"/>
    <row r="17" s="13" customFormat="1" x14ac:dyDescent="0.3"/>
    <row r="18" s="13" customFormat="1" x14ac:dyDescent="0.3"/>
    <row r="19" s="13" customFormat="1" x14ac:dyDescent="0.3"/>
    <row r="20" s="13" customFormat="1" x14ac:dyDescent="0.3"/>
    <row r="21" s="13" customFormat="1" x14ac:dyDescent="0.3"/>
    <row r="22" s="13" customFormat="1" x14ac:dyDescent="0.3"/>
    <row r="23" s="13" customFormat="1" x14ac:dyDescent="0.3"/>
    <row r="24" s="13" customFormat="1" x14ac:dyDescent="0.3"/>
    <row r="25" s="13" customFormat="1" x14ac:dyDescent="0.3"/>
    <row r="26" s="13" customFormat="1" x14ac:dyDescent="0.3"/>
    <row r="27" s="13" customFormat="1" x14ac:dyDescent="0.3"/>
    <row r="28" s="13" customFormat="1" x14ac:dyDescent="0.3"/>
    <row r="29" s="13" customFormat="1" x14ac:dyDescent="0.3"/>
    <row r="30" s="13" customFormat="1" x14ac:dyDescent="0.3"/>
    <row r="31" s="13" customFormat="1" x14ac:dyDescent="0.3"/>
    <row r="32" s="13" customFormat="1" x14ac:dyDescent="0.3"/>
    <row r="33" s="13" customFormat="1" x14ac:dyDescent="0.3"/>
    <row r="34" s="13" customFormat="1" x14ac:dyDescent="0.3"/>
    <row r="35" s="13" customFormat="1" x14ac:dyDescent="0.3"/>
    <row r="36" s="13" customFormat="1" x14ac:dyDescent="0.3"/>
    <row r="37" s="13" customFormat="1" x14ac:dyDescent="0.3"/>
    <row r="38" s="13" customFormat="1" x14ac:dyDescent="0.3"/>
    <row r="39" s="13" customFormat="1" x14ac:dyDescent="0.3"/>
    <row r="40" s="13" customFormat="1" x14ac:dyDescent="0.3"/>
    <row r="41" s="13" customFormat="1" x14ac:dyDescent="0.3"/>
    <row r="42" s="13" customFormat="1" x14ac:dyDescent="0.3"/>
    <row r="43" s="13" customFormat="1" x14ac:dyDescent="0.3"/>
    <row r="44" s="13" customFormat="1" x14ac:dyDescent="0.3"/>
    <row r="45" s="13" customFormat="1" x14ac:dyDescent="0.3"/>
    <row r="46" s="13" customFormat="1" x14ac:dyDescent="0.3"/>
    <row r="47" s="13" customFormat="1" x14ac:dyDescent="0.3"/>
    <row r="48" s="13" customFormat="1" x14ac:dyDescent="0.3"/>
    <row r="49" s="13" customFormat="1" x14ac:dyDescent="0.3"/>
    <row r="50" s="13" customFormat="1" x14ac:dyDescent="0.3"/>
    <row r="51" s="13" customFormat="1" x14ac:dyDescent="0.3"/>
    <row r="52" s="13" customFormat="1" x14ac:dyDescent="0.3"/>
    <row r="53" s="13" customFormat="1" x14ac:dyDescent="0.3"/>
    <row r="54" s="13" customFormat="1" x14ac:dyDescent="0.3"/>
    <row r="55" s="13" customFormat="1" x14ac:dyDescent="0.3"/>
    <row r="56" s="13" customFormat="1" x14ac:dyDescent="0.3"/>
    <row r="57" s="13" customFormat="1" x14ac:dyDescent="0.3"/>
    <row r="58" s="13" customFormat="1" x14ac:dyDescent="0.3"/>
    <row r="59" s="13" customFormat="1" x14ac:dyDescent="0.3"/>
    <row r="60" s="13" customFormat="1" x14ac:dyDescent="0.3"/>
    <row r="61" s="13" customFormat="1" x14ac:dyDescent="0.3"/>
    <row r="62" s="13" customFormat="1" x14ac:dyDescent="0.3"/>
    <row r="63" s="13" customFormat="1" x14ac:dyDescent="0.3"/>
    <row r="64" s="13" customFormat="1" x14ac:dyDescent="0.3"/>
    <row r="65" s="13" customFormat="1" x14ac:dyDescent="0.3"/>
    <row r="66" s="13" customFormat="1" x14ac:dyDescent="0.3"/>
    <row r="67" s="13" customFormat="1" x14ac:dyDescent="0.3"/>
    <row r="68" s="13" customFormat="1" x14ac:dyDescent="0.3"/>
    <row r="69" s="13" customFormat="1" x14ac:dyDescent="0.3"/>
    <row r="70" s="13" customFormat="1" x14ac:dyDescent="0.3"/>
    <row r="71" s="13" customFormat="1" x14ac:dyDescent="0.3"/>
    <row r="72" s="13" customFormat="1" x14ac:dyDescent="0.3"/>
    <row r="73" s="13" customFormat="1" x14ac:dyDescent="0.3"/>
    <row r="74" s="13" customFormat="1" x14ac:dyDescent="0.3"/>
    <row r="75" s="13" customFormat="1" x14ac:dyDescent="0.3"/>
    <row r="76" s="13" customFormat="1" x14ac:dyDescent="0.3"/>
    <row r="77" s="13" customFormat="1" x14ac:dyDescent="0.3"/>
    <row r="78" s="13" customFormat="1" x14ac:dyDescent="0.3"/>
    <row r="79" s="13" customFormat="1" x14ac:dyDescent="0.3"/>
    <row r="80" s="13" customFormat="1" x14ac:dyDescent="0.3"/>
    <row r="81" s="13" customFormat="1" x14ac:dyDescent="0.3"/>
    <row r="82" s="13" customFormat="1" x14ac:dyDescent="0.3"/>
    <row r="83" s="13" customFormat="1" x14ac:dyDescent="0.3"/>
    <row r="84" s="13" customFormat="1" x14ac:dyDescent="0.3"/>
    <row r="85" s="13" customFormat="1" x14ac:dyDescent="0.3"/>
    <row r="86" s="13" customFormat="1" x14ac:dyDescent="0.3"/>
    <row r="87" s="13" customFormat="1" x14ac:dyDescent="0.3"/>
    <row r="88" s="13" customFormat="1" x14ac:dyDescent="0.3"/>
    <row r="89" s="13" customFormat="1" x14ac:dyDescent="0.3"/>
    <row r="90" s="13" customFormat="1" x14ac:dyDescent="0.3"/>
    <row r="91" s="13" customFormat="1" x14ac:dyDescent="0.3"/>
    <row r="92" s="13" customFormat="1" x14ac:dyDescent="0.3"/>
    <row r="93" s="13" customFormat="1" x14ac:dyDescent="0.3"/>
    <row r="94" s="13" customFormat="1" x14ac:dyDescent="0.3"/>
    <row r="95" s="13" customFormat="1" x14ac:dyDescent="0.3"/>
    <row r="96" s="13" customFormat="1" x14ac:dyDescent="0.3"/>
    <row r="97" s="13" customFormat="1" x14ac:dyDescent="0.3"/>
    <row r="98" s="13" customFormat="1" x14ac:dyDescent="0.3"/>
    <row r="99" s="13" customFormat="1" x14ac:dyDescent="0.3"/>
    <row r="100" s="13" customFormat="1" x14ac:dyDescent="0.3"/>
    <row r="101" s="13" customFormat="1" x14ac:dyDescent="0.3"/>
    <row r="102" s="13" customFormat="1" x14ac:dyDescent="0.3"/>
    <row r="103" s="13" customFormat="1" x14ac:dyDescent="0.3"/>
    <row r="104" s="13" customFormat="1" x14ac:dyDescent="0.3"/>
    <row r="105" s="13" customFormat="1" x14ac:dyDescent="0.3"/>
    <row r="106" s="13" customFormat="1" x14ac:dyDescent="0.3"/>
    <row r="107" s="13" customFormat="1" x14ac:dyDescent="0.3"/>
    <row r="108" s="13" customFormat="1" x14ac:dyDescent="0.3"/>
    <row r="109" s="13" customFormat="1" x14ac:dyDescent="0.3"/>
    <row r="110" s="13" customFormat="1" x14ac:dyDescent="0.3"/>
    <row r="111" s="13" customFormat="1" x14ac:dyDescent="0.3"/>
    <row r="112" s="13" customFormat="1" x14ac:dyDescent="0.3"/>
    <row r="113" s="13" customFormat="1" x14ac:dyDescent="0.3"/>
    <row r="114" s="13" customFormat="1" x14ac:dyDescent="0.3"/>
    <row r="115" s="13" customFormat="1" x14ac:dyDescent="0.3"/>
    <row r="116" s="13" customFormat="1" x14ac:dyDescent="0.3"/>
    <row r="117" s="13" customFormat="1" x14ac:dyDescent="0.3"/>
    <row r="118" s="13" customFormat="1" x14ac:dyDescent="0.3"/>
    <row r="119" s="13" customFormat="1" x14ac:dyDescent="0.3"/>
    <row r="120" s="13" customFormat="1" x14ac:dyDescent="0.3"/>
    <row r="121" s="13" customFormat="1" x14ac:dyDescent="0.3"/>
    <row r="122" s="13" customFormat="1" x14ac:dyDescent="0.3"/>
    <row r="123" s="13" customFormat="1" x14ac:dyDescent="0.3"/>
    <row r="124" s="13" customFormat="1" x14ac:dyDescent="0.3"/>
    <row r="125" s="13" customFormat="1" x14ac:dyDescent="0.3"/>
    <row r="126" s="13" customFormat="1" x14ac:dyDescent="0.3"/>
    <row r="127" s="13" customFormat="1" x14ac:dyDescent="0.3"/>
    <row r="128" s="13" customFormat="1" x14ac:dyDescent="0.3"/>
    <row r="129" s="13" customFormat="1" x14ac:dyDescent="0.3"/>
    <row r="130" s="13" customFormat="1" x14ac:dyDescent="0.3"/>
    <row r="131" s="13" customFormat="1" x14ac:dyDescent="0.3"/>
    <row r="132" s="13" customFormat="1" x14ac:dyDescent="0.3"/>
    <row r="133" s="13" customFormat="1" x14ac:dyDescent="0.3"/>
    <row r="134" s="13" customFormat="1" x14ac:dyDescent="0.3"/>
    <row r="135" s="13" customFormat="1" x14ac:dyDescent="0.3"/>
    <row r="136" s="13" customFormat="1" x14ac:dyDescent="0.3"/>
    <row r="137" s="13" customFormat="1" x14ac:dyDescent="0.3"/>
    <row r="138" s="13" customFormat="1" x14ac:dyDescent="0.3"/>
    <row r="139" s="13" customFormat="1" x14ac:dyDescent="0.3"/>
    <row r="140" s="13" customFormat="1" x14ac:dyDescent="0.3"/>
    <row r="141" s="13" customFormat="1" x14ac:dyDescent="0.3"/>
    <row r="142" s="13" customFormat="1" x14ac:dyDescent="0.3"/>
    <row r="143" s="13" customFormat="1" x14ac:dyDescent="0.3"/>
    <row r="144" s="13" customFormat="1" x14ac:dyDescent="0.3"/>
    <row r="145" s="13" customFormat="1" x14ac:dyDescent="0.3"/>
    <row r="146" s="13" customFormat="1" x14ac:dyDescent="0.3"/>
    <row r="147" s="13" customFormat="1" x14ac:dyDescent="0.3"/>
    <row r="148" s="13" customFormat="1" x14ac:dyDescent="0.3"/>
    <row r="149" s="13" customFormat="1" x14ac:dyDescent="0.3"/>
    <row r="150" s="13" customFormat="1" x14ac:dyDescent="0.3"/>
    <row r="151" s="13" customFormat="1" x14ac:dyDescent="0.3"/>
    <row r="152" s="13" customFormat="1" x14ac:dyDescent="0.3"/>
    <row r="153" s="13" customFormat="1" x14ac:dyDescent="0.3"/>
    <row r="154" s="13" customFormat="1" x14ac:dyDescent="0.3"/>
    <row r="155" s="13" customFormat="1" x14ac:dyDescent="0.3"/>
    <row r="156" s="13" customFormat="1" x14ac:dyDescent="0.3"/>
    <row r="157" s="13" customFormat="1" x14ac:dyDescent="0.3"/>
    <row r="158" s="13" customFormat="1" x14ac:dyDescent="0.3"/>
    <row r="159" s="13" customFormat="1" x14ac:dyDescent="0.3"/>
    <row r="160" s="13" customFormat="1" x14ac:dyDescent="0.3"/>
    <row r="161" s="13" customFormat="1" x14ac:dyDescent="0.3"/>
    <row r="162" s="13" customFormat="1" x14ac:dyDescent="0.3"/>
    <row r="163" s="13" customFormat="1" x14ac:dyDescent="0.3"/>
    <row r="164" s="13" customFormat="1" x14ac:dyDescent="0.3"/>
    <row r="165" s="13" customFormat="1" x14ac:dyDescent="0.3"/>
    <row r="166" s="13" customFormat="1" x14ac:dyDescent="0.3"/>
    <row r="167" s="13" customFormat="1" x14ac:dyDescent="0.3"/>
    <row r="168" s="13" customFormat="1" x14ac:dyDescent="0.3"/>
    <row r="169" s="13" customFormat="1" x14ac:dyDescent="0.3"/>
    <row r="170" s="13" customFormat="1" x14ac:dyDescent="0.3"/>
    <row r="171" s="13" customFormat="1" x14ac:dyDescent="0.3"/>
    <row r="172" s="13" customFormat="1" x14ac:dyDescent="0.3"/>
    <row r="173" s="13" customFormat="1" x14ac:dyDescent="0.3"/>
    <row r="174" s="13" customFormat="1" x14ac:dyDescent="0.3"/>
    <row r="175" s="13" customFormat="1" x14ac:dyDescent="0.3"/>
    <row r="176" s="13" customFormat="1" x14ac:dyDescent="0.3"/>
    <row r="177" s="13" customFormat="1" x14ac:dyDescent="0.3"/>
    <row r="178" s="13" customFormat="1" x14ac:dyDescent="0.3"/>
    <row r="179" s="13" customFormat="1" x14ac:dyDescent="0.3"/>
    <row r="180" s="13" customFormat="1" x14ac:dyDescent="0.3"/>
    <row r="181" s="13" customFormat="1" x14ac:dyDescent="0.3"/>
    <row r="182" s="13" customFormat="1" x14ac:dyDescent="0.3"/>
    <row r="183" s="13" customFormat="1" x14ac:dyDescent="0.3"/>
    <row r="184" s="13" customFormat="1" x14ac:dyDescent="0.3"/>
    <row r="185" s="13" customFormat="1" x14ac:dyDescent="0.3"/>
    <row r="186" s="13" customFormat="1" x14ac:dyDescent="0.3"/>
    <row r="187" s="13" customFormat="1" x14ac:dyDescent="0.3"/>
    <row r="188" s="13" customFormat="1" x14ac:dyDescent="0.3"/>
    <row r="189" s="13" customFormat="1" x14ac:dyDescent="0.3"/>
    <row r="190" s="13" customFormat="1" x14ac:dyDescent="0.3"/>
    <row r="191" s="13" customFormat="1" x14ac:dyDescent="0.3"/>
    <row r="192" s="13" customFormat="1" x14ac:dyDescent="0.3"/>
    <row r="194" spans="1:10" ht="14.4" customHeight="1" x14ac:dyDescent="0.3">
      <c r="A194" s="14" t="s">
        <v>18</v>
      </c>
      <c r="B194" s="14" t="s">
        <v>17</v>
      </c>
      <c r="C194" s="47" t="s">
        <v>19</v>
      </c>
      <c r="D194" s="47"/>
      <c r="E194" s="47"/>
      <c r="F194" s="47"/>
      <c r="G194" s="47"/>
      <c r="H194" s="46" t="s">
        <v>2</v>
      </c>
    </row>
    <row r="195" spans="1:10" x14ac:dyDescent="0.3">
      <c r="A195" s="14"/>
      <c r="B195" s="14"/>
      <c r="C195" s="45" t="s">
        <v>26</v>
      </c>
      <c r="D195" s="47" t="s">
        <v>21</v>
      </c>
      <c r="E195" s="47"/>
      <c r="F195" s="45" t="s">
        <v>0</v>
      </c>
      <c r="G195" s="45" t="s">
        <v>1</v>
      </c>
      <c r="H195" s="46"/>
    </row>
    <row r="196" spans="1:10" ht="28.8" x14ac:dyDescent="0.3">
      <c r="A196" s="14"/>
      <c r="B196" s="14"/>
      <c r="C196" s="45"/>
      <c r="D196" s="15" t="s">
        <v>22</v>
      </c>
      <c r="E196" s="16" t="s">
        <v>23</v>
      </c>
      <c r="F196" s="45"/>
      <c r="G196" s="45"/>
      <c r="H196" s="46"/>
    </row>
    <row r="197" spans="1:10" x14ac:dyDescent="0.3">
      <c r="A197" s="17" t="s">
        <v>15</v>
      </c>
      <c r="B197" s="14"/>
      <c r="C197" s="17" t="s">
        <v>15</v>
      </c>
      <c r="D197" s="17" t="s">
        <v>20</v>
      </c>
      <c r="E197" s="17" t="s">
        <v>20</v>
      </c>
      <c r="F197" s="17" t="s">
        <v>20</v>
      </c>
      <c r="G197" s="17" t="s">
        <v>20</v>
      </c>
      <c r="H197" s="17" t="s">
        <v>16</v>
      </c>
    </row>
    <row r="198" spans="1:10" x14ac:dyDescent="0.3">
      <c r="A198" s="14" t="s">
        <v>3</v>
      </c>
      <c r="B198" s="14">
        <v>8000036371</v>
      </c>
      <c r="C198" s="18" t="s">
        <v>4</v>
      </c>
      <c r="D198" s="18">
        <v>5.0999999999999996</v>
      </c>
      <c r="E198" s="18">
        <v>7.4</v>
      </c>
      <c r="F198" s="18">
        <v>18.5</v>
      </c>
      <c r="G198" s="18">
        <v>20</v>
      </c>
      <c r="H198" s="18">
        <v>9.3000000000000007</v>
      </c>
    </row>
    <row r="199" spans="1:10" x14ac:dyDescent="0.3">
      <c r="A199" s="14" t="s">
        <v>3</v>
      </c>
      <c r="B199" s="14">
        <v>8000036371</v>
      </c>
      <c r="C199" s="18" t="s">
        <v>5</v>
      </c>
      <c r="D199" s="18">
        <v>5.0999999999999996</v>
      </c>
      <c r="E199" s="18">
        <v>7.4</v>
      </c>
      <c r="F199" s="18">
        <v>18.5</v>
      </c>
      <c r="G199" s="18">
        <v>24.8</v>
      </c>
      <c r="H199" s="18">
        <v>11.5</v>
      </c>
      <c r="J199" s="19"/>
    </row>
    <row r="200" spans="1:10" x14ac:dyDescent="0.3">
      <c r="A200" s="14" t="s">
        <v>3</v>
      </c>
      <c r="B200" s="14">
        <v>8000036371</v>
      </c>
      <c r="C200" s="18" t="s">
        <v>6</v>
      </c>
      <c r="D200" s="18">
        <v>5.0999999999999996</v>
      </c>
      <c r="E200" s="18">
        <v>7.4</v>
      </c>
      <c r="F200" s="18">
        <v>18.5</v>
      </c>
      <c r="G200" s="18">
        <v>26</v>
      </c>
      <c r="H200" s="18">
        <v>11.6</v>
      </c>
    </row>
    <row r="201" spans="1:10" x14ac:dyDescent="0.3">
      <c r="A201" s="14" t="s">
        <v>3</v>
      </c>
      <c r="B201" s="14">
        <v>8000036371</v>
      </c>
      <c r="C201" s="18" t="s">
        <v>7</v>
      </c>
      <c r="D201" s="18">
        <v>5.0999999999999996</v>
      </c>
      <c r="E201" s="18">
        <v>7.4</v>
      </c>
      <c r="F201" s="18">
        <v>18.5</v>
      </c>
      <c r="G201" s="18">
        <v>23.1</v>
      </c>
      <c r="H201" s="18">
        <v>10.7</v>
      </c>
    </row>
    <row r="202" spans="1:10" x14ac:dyDescent="0.3">
      <c r="A202" s="14" t="s">
        <v>3</v>
      </c>
      <c r="B202" s="14">
        <v>8000036371</v>
      </c>
      <c r="C202" s="18" t="s">
        <v>8</v>
      </c>
      <c r="D202" s="18">
        <v>5.0999999999999996</v>
      </c>
      <c r="E202" s="18">
        <v>7.4</v>
      </c>
      <c r="F202" s="18">
        <v>18.5</v>
      </c>
      <c r="G202" s="18">
        <v>25.2</v>
      </c>
      <c r="H202" s="18">
        <v>11.7</v>
      </c>
    </row>
    <row r="203" spans="1:10" x14ac:dyDescent="0.3">
      <c r="A203" s="14" t="s">
        <v>3</v>
      </c>
      <c r="B203" s="14">
        <v>8000036371</v>
      </c>
      <c r="C203" s="18" t="s">
        <v>9</v>
      </c>
      <c r="D203" s="18">
        <v>5.0999999999999996</v>
      </c>
      <c r="E203" s="18">
        <v>7.4</v>
      </c>
      <c r="F203" s="18">
        <v>18.5</v>
      </c>
      <c r="G203" s="18">
        <v>22.9</v>
      </c>
      <c r="H203" s="18">
        <v>10.6</v>
      </c>
    </row>
    <row r="204" spans="1:10" x14ac:dyDescent="0.3">
      <c r="A204" s="14" t="s">
        <v>3</v>
      </c>
      <c r="B204" s="14">
        <v>8000036371</v>
      </c>
      <c r="C204" s="18" t="s">
        <v>10</v>
      </c>
      <c r="D204" s="18">
        <v>5.0999999999999996</v>
      </c>
      <c r="E204" s="18">
        <v>7.4</v>
      </c>
      <c r="F204" s="18">
        <v>18.5</v>
      </c>
      <c r="G204" s="18">
        <v>23.3</v>
      </c>
      <c r="H204" s="18">
        <v>10.8</v>
      </c>
    </row>
    <row r="205" spans="1:10" x14ac:dyDescent="0.3">
      <c r="A205" s="14" t="s">
        <v>3</v>
      </c>
      <c r="B205" s="14">
        <v>8000036371</v>
      </c>
      <c r="C205" s="18" t="s">
        <v>11</v>
      </c>
      <c r="D205" s="18">
        <v>5.0999999999999996</v>
      </c>
      <c r="E205" s="18">
        <v>7.4</v>
      </c>
      <c r="F205" s="18">
        <v>18.5</v>
      </c>
      <c r="G205" s="18">
        <v>23.9</v>
      </c>
      <c r="H205" s="18">
        <v>11.1</v>
      </c>
    </row>
    <row r="206" spans="1:10" x14ac:dyDescent="0.3">
      <c r="A206" s="14" t="s">
        <v>3</v>
      </c>
      <c r="B206" s="14">
        <v>8000036371</v>
      </c>
      <c r="C206" s="18" t="s">
        <v>12</v>
      </c>
      <c r="D206" s="18">
        <v>5.0999999999999996</v>
      </c>
      <c r="E206" s="18">
        <v>7.4</v>
      </c>
      <c r="F206" s="18">
        <v>18.5</v>
      </c>
      <c r="G206" s="18">
        <v>24.9</v>
      </c>
      <c r="H206" s="18">
        <v>11.6</v>
      </c>
    </row>
    <row r="207" spans="1:10" x14ac:dyDescent="0.3">
      <c r="A207" s="14" t="s">
        <v>13</v>
      </c>
      <c r="B207" s="14" t="s">
        <v>14</v>
      </c>
      <c r="C207" s="18" t="s">
        <v>4</v>
      </c>
      <c r="D207" s="18">
        <v>6.4</v>
      </c>
      <c r="E207" s="18">
        <v>8.5</v>
      </c>
      <c r="F207" s="18">
        <v>25.6</v>
      </c>
      <c r="G207" s="18">
        <v>26</v>
      </c>
      <c r="H207" s="18">
        <v>12.1</v>
      </c>
    </row>
    <row r="208" spans="1:10" x14ac:dyDescent="0.3">
      <c r="A208" s="14" t="s">
        <v>13</v>
      </c>
      <c r="B208" s="14" t="s">
        <v>14</v>
      </c>
      <c r="C208" s="18" t="s">
        <v>5</v>
      </c>
      <c r="D208" s="18">
        <v>6.4</v>
      </c>
      <c r="E208" s="18">
        <v>8.5</v>
      </c>
      <c r="F208" s="18">
        <v>25.6</v>
      </c>
      <c r="G208" s="18">
        <v>29.8</v>
      </c>
      <c r="H208" s="18">
        <v>13.8</v>
      </c>
    </row>
    <row r="209" spans="1:8" x14ac:dyDescent="0.3">
      <c r="A209" s="14" t="s">
        <v>13</v>
      </c>
      <c r="B209" s="14" t="s">
        <v>14</v>
      </c>
      <c r="C209" s="18" t="s">
        <v>6</v>
      </c>
      <c r="D209" s="18">
        <v>6.4</v>
      </c>
      <c r="E209" s="18">
        <v>8.5</v>
      </c>
      <c r="F209" s="18">
        <v>25.6</v>
      </c>
      <c r="G209" s="18">
        <v>31</v>
      </c>
      <c r="H209" s="18">
        <v>13.9</v>
      </c>
    </row>
    <row r="210" spans="1:8" x14ac:dyDescent="0.3">
      <c r="A210" s="14" t="s">
        <v>13</v>
      </c>
      <c r="B210" s="14" t="s">
        <v>14</v>
      </c>
      <c r="C210" s="18" t="s">
        <v>7</v>
      </c>
      <c r="D210" s="18">
        <v>6.4</v>
      </c>
      <c r="E210" s="18">
        <v>8.5</v>
      </c>
      <c r="F210" s="18">
        <v>25.6</v>
      </c>
      <c r="G210" s="18">
        <v>28.7</v>
      </c>
      <c r="H210" s="18">
        <v>13.3</v>
      </c>
    </row>
    <row r="211" spans="1:8" x14ac:dyDescent="0.3">
      <c r="A211" s="14" t="s">
        <v>13</v>
      </c>
      <c r="B211" s="14" t="s">
        <v>14</v>
      </c>
      <c r="C211" s="18" t="s">
        <v>8</v>
      </c>
      <c r="D211" s="18">
        <v>6.4</v>
      </c>
      <c r="E211" s="18">
        <v>8.5</v>
      </c>
      <c r="F211" s="18">
        <v>25.6</v>
      </c>
      <c r="G211" s="18">
        <v>29.5</v>
      </c>
      <c r="H211" s="18">
        <v>13.7</v>
      </c>
    </row>
    <row r="212" spans="1:8" x14ac:dyDescent="0.3">
      <c r="A212" s="14" t="s">
        <v>13</v>
      </c>
      <c r="B212" s="14" t="s">
        <v>14</v>
      </c>
      <c r="C212" s="18" t="s">
        <v>9</v>
      </c>
      <c r="D212" s="18">
        <v>6.4</v>
      </c>
      <c r="E212" s="18">
        <v>8.5</v>
      </c>
      <c r="F212" s="18">
        <v>25.6</v>
      </c>
      <c r="G212" s="18">
        <v>29.1</v>
      </c>
      <c r="H212" s="18">
        <v>13.5</v>
      </c>
    </row>
    <row r="213" spans="1:8" x14ac:dyDescent="0.3">
      <c r="A213" s="14" t="s">
        <v>13</v>
      </c>
      <c r="B213" s="14" t="s">
        <v>14</v>
      </c>
      <c r="C213" s="18" t="s">
        <v>10</v>
      </c>
      <c r="D213" s="18">
        <v>6.4</v>
      </c>
      <c r="E213" s="18">
        <v>8.5</v>
      </c>
      <c r="F213" s="18">
        <v>25.6</v>
      </c>
      <c r="G213" s="18">
        <v>28.3</v>
      </c>
      <c r="H213" s="18">
        <v>13.1</v>
      </c>
    </row>
    <row r="214" spans="1:8" x14ac:dyDescent="0.3">
      <c r="A214" s="14" t="s">
        <v>13</v>
      </c>
      <c r="B214" s="14" t="s">
        <v>14</v>
      </c>
      <c r="C214" s="18" t="s">
        <v>11</v>
      </c>
      <c r="D214" s="18">
        <v>6.4</v>
      </c>
      <c r="E214" s="18">
        <v>8.5</v>
      </c>
      <c r="F214" s="18">
        <v>25.6</v>
      </c>
      <c r="G214" s="18">
        <v>26.5</v>
      </c>
      <c r="H214" s="18">
        <v>12.3</v>
      </c>
    </row>
    <row r="215" spans="1:8" x14ac:dyDescent="0.3">
      <c r="A215" s="14" t="s">
        <v>13</v>
      </c>
      <c r="B215" s="14" t="s">
        <v>14</v>
      </c>
      <c r="C215" s="18" t="s">
        <v>12</v>
      </c>
      <c r="D215" s="18">
        <v>6.4</v>
      </c>
      <c r="E215" s="18">
        <v>8.5</v>
      </c>
      <c r="F215" s="18">
        <v>25.6</v>
      </c>
      <c r="G215" s="18">
        <v>31</v>
      </c>
      <c r="H215" s="18">
        <v>14.4</v>
      </c>
    </row>
    <row r="217" spans="1:8" x14ac:dyDescent="0.3">
      <c r="A217" s="36" t="s">
        <v>18</v>
      </c>
      <c r="B217" s="39" t="s">
        <v>17</v>
      </c>
      <c r="C217" s="42" t="s">
        <v>19</v>
      </c>
      <c r="D217" s="43"/>
      <c r="E217" s="43"/>
      <c r="F217" s="43"/>
      <c r="G217" s="44"/>
      <c r="H217" s="39" t="s">
        <v>2</v>
      </c>
    </row>
    <row r="218" spans="1:8" x14ac:dyDescent="0.3">
      <c r="A218" s="37"/>
      <c r="B218" s="40"/>
      <c r="C218" s="36" t="s">
        <v>43</v>
      </c>
      <c r="D218" s="42" t="s">
        <v>21</v>
      </c>
      <c r="E218" s="44"/>
      <c r="F218" s="36" t="s">
        <v>0</v>
      </c>
      <c r="G218" s="36" t="s">
        <v>1</v>
      </c>
      <c r="H218" s="40"/>
    </row>
    <row r="219" spans="1:8" x14ac:dyDescent="0.3">
      <c r="A219" s="37"/>
      <c r="B219" s="40"/>
      <c r="C219" s="37"/>
      <c r="D219" s="20" t="s">
        <v>44</v>
      </c>
      <c r="E219" s="36" t="s">
        <v>23</v>
      </c>
      <c r="F219" s="37"/>
      <c r="G219" s="37"/>
      <c r="H219" s="40"/>
    </row>
    <row r="220" spans="1:8" x14ac:dyDescent="0.3">
      <c r="A220" s="38"/>
      <c r="B220" s="40"/>
      <c r="C220" s="38"/>
      <c r="D220" s="21" t="s">
        <v>45</v>
      </c>
      <c r="E220" s="38"/>
      <c r="F220" s="38"/>
      <c r="G220" s="38"/>
      <c r="H220" s="41"/>
    </row>
    <row r="221" spans="1:8" x14ac:dyDescent="0.3">
      <c r="A221" s="22" t="s">
        <v>15</v>
      </c>
      <c r="B221" s="41"/>
      <c r="C221" s="22" t="s">
        <v>15</v>
      </c>
      <c r="D221" s="22" t="s">
        <v>20</v>
      </c>
      <c r="E221" s="22" t="s">
        <v>20</v>
      </c>
      <c r="F221" s="22" t="s">
        <v>20</v>
      </c>
      <c r="G221" s="22" t="s">
        <v>20</v>
      </c>
      <c r="H221" s="22" t="s">
        <v>16</v>
      </c>
    </row>
    <row r="222" spans="1:8" x14ac:dyDescent="0.3">
      <c r="A222" s="36" t="s">
        <v>46</v>
      </c>
      <c r="B222" s="36">
        <v>8000036365</v>
      </c>
      <c r="C222" s="23">
        <v>1</v>
      </c>
      <c r="D222" s="23" t="s">
        <v>47</v>
      </c>
      <c r="E222" s="23" t="s">
        <v>48</v>
      </c>
      <c r="F222" s="23" t="s">
        <v>49</v>
      </c>
      <c r="G222" s="23" t="s">
        <v>50</v>
      </c>
      <c r="H222" s="23" t="s">
        <v>51</v>
      </c>
    </row>
    <row r="223" spans="1:8" x14ac:dyDescent="0.3">
      <c r="A223" s="37"/>
      <c r="B223" s="37"/>
      <c r="C223" s="23">
        <v>2</v>
      </c>
      <c r="D223" s="23" t="s">
        <v>47</v>
      </c>
      <c r="E223" s="23" t="s">
        <v>48</v>
      </c>
      <c r="F223" s="23" t="s">
        <v>49</v>
      </c>
      <c r="G223" s="23" t="s">
        <v>52</v>
      </c>
      <c r="H223" s="23" t="s">
        <v>53</v>
      </c>
    </row>
    <row r="224" spans="1:8" x14ac:dyDescent="0.3">
      <c r="A224" s="37"/>
      <c r="B224" s="37"/>
      <c r="C224" s="23">
        <v>3</v>
      </c>
      <c r="D224" s="23" t="s">
        <v>47</v>
      </c>
      <c r="E224" s="23" t="s">
        <v>48</v>
      </c>
      <c r="F224" s="23" t="s">
        <v>49</v>
      </c>
      <c r="G224" s="23" t="s">
        <v>54</v>
      </c>
      <c r="H224" s="23" t="s">
        <v>55</v>
      </c>
    </row>
    <row r="225" spans="1:8" x14ac:dyDescent="0.3">
      <c r="A225" s="37"/>
      <c r="B225" s="37"/>
      <c r="C225" s="23">
        <v>4</v>
      </c>
      <c r="D225" s="23" t="s">
        <v>47</v>
      </c>
      <c r="E225" s="23" t="s">
        <v>48</v>
      </c>
      <c r="F225" s="23" t="s">
        <v>49</v>
      </c>
      <c r="G225" s="23" t="s">
        <v>56</v>
      </c>
      <c r="H225" s="23" t="s">
        <v>57</v>
      </c>
    </row>
    <row r="226" spans="1:8" x14ac:dyDescent="0.3">
      <c r="A226" s="37"/>
      <c r="B226" s="37"/>
      <c r="C226" s="23">
        <v>5</v>
      </c>
      <c r="D226" s="23" t="s">
        <v>47</v>
      </c>
      <c r="E226" s="23" t="s">
        <v>48</v>
      </c>
      <c r="F226" s="23" t="s">
        <v>49</v>
      </c>
      <c r="G226" s="23" t="s">
        <v>58</v>
      </c>
      <c r="H226" s="23" t="s">
        <v>59</v>
      </c>
    </row>
    <row r="227" spans="1:8" x14ac:dyDescent="0.3">
      <c r="A227" s="37"/>
      <c r="B227" s="37"/>
      <c r="C227" s="23">
        <v>6</v>
      </c>
      <c r="D227" s="23" t="s">
        <v>47</v>
      </c>
      <c r="E227" s="23" t="s">
        <v>48</v>
      </c>
      <c r="F227" s="23" t="s">
        <v>49</v>
      </c>
      <c r="G227" s="23" t="s">
        <v>60</v>
      </c>
      <c r="H227" s="23" t="s">
        <v>61</v>
      </c>
    </row>
    <row r="228" spans="1:8" x14ac:dyDescent="0.3">
      <c r="A228" s="37"/>
      <c r="B228" s="37"/>
      <c r="C228" s="23">
        <v>7</v>
      </c>
      <c r="D228" s="23" t="s">
        <v>47</v>
      </c>
      <c r="E228" s="23" t="s">
        <v>48</v>
      </c>
      <c r="F228" s="23" t="s">
        <v>49</v>
      </c>
      <c r="G228" s="23" t="s">
        <v>62</v>
      </c>
      <c r="H228" s="23" t="s">
        <v>63</v>
      </c>
    </row>
    <row r="229" spans="1:8" x14ac:dyDescent="0.3">
      <c r="A229" s="37"/>
      <c r="B229" s="37"/>
      <c r="C229" s="23">
        <v>8</v>
      </c>
      <c r="D229" s="23" t="s">
        <v>47</v>
      </c>
      <c r="E229" s="23" t="s">
        <v>48</v>
      </c>
      <c r="F229" s="23" t="s">
        <v>49</v>
      </c>
      <c r="G229" s="23" t="s">
        <v>64</v>
      </c>
      <c r="H229" s="23" t="s">
        <v>65</v>
      </c>
    </row>
    <row r="230" spans="1:8" x14ac:dyDescent="0.3">
      <c r="A230" s="38"/>
      <c r="B230" s="38"/>
      <c r="C230" s="23">
        <v>9</v>
      </c>
      <c r="D230" s="23" t="s">
        <v>47</v>
      </c>
      <c r="E230" s="23" t="s">
        <v>48</v>
      </c>
      <c r="F230" s="23" t="s">
        <v>49</v>
      </c>
      <c r="G230" s="23" t="s">
        <v>66</v>
      </c>
      <c r="H230" s="23" t="s">
        <v>67</v>
      </c>
    </row>
    <row r="231" spans="1:8" x14ac:dyDescent="0.3">
      <c r="A231" s="36" t="s">
        <v>68</v>
      </c>
      <c r="B231" s="36">
        <v>8000036373</v>
      </c>
      <c r="C231" s="23">
        <v>1</v>
      </c>
      <c r="D231" s="23" t="s">
        <v>69</v>
      </c>
      <c r="E231" s="23">
        <v>8.5</v>
      </c>
      <c r="F231" s="23">
        <v>25.6</v>
      </c>
      <c r="G231" s="23" t="s">
        <v>54</v>
      </c>
      <c r="H231" s="23" t="s">
        <v>55</v>
      </c>
    </row>
    <row r="232" spans="1:8" x14ac:dyDescent="0.3">
      <c r="A232" s="37"/>
      <c r="B232" s="37"/>
      <c r="C232" s="23">
        <v>2</v>
      </c>
      <c r="D232" s="23" t="s">
        <v>69</v>
      </c>
      <c r="E232" s="23">
        <v>8.5</v>
      </c>
      <c r="F232" s="23">
        <v>25.6</v>
      </c>
      <c r="G232" s="23" t="s">
        <v>70</v>
      </c>
      <c r="H232" s="23" t="s">
        <v>71</v>
      </c>
    </row>
    <row r="233" spans="1:8" x14ac:dyDescent="0.3">
      <c r="A233" s="37"/>
      <c r="B233" s="37"/>
      <c r="C233" s="23">
        <v>3</v>
      </c>
      <c r="D233" s="23" t="s">
        <v>69</v>
      </c>
      <c r="E233" s="23">
        <v>8.5</v>
      </c>
      <c r="F233" s="23">
        <v>25.6</v>
      </c>
      <c r="G233" s="23" t="s">
        <v>72</v>
      </c>
      <c r="H233" s="23" t="s">
        <v>73</v>
      </c>
    </row>
    <row r="234" spans="1:8" x14ac:dyDescent="0.3">
      <c r="A234" s="37"/>
      <c r="B234" s="37"/>
      <c r="C234" s="23">
        <v>4</v>
      </c>
      <c r="D234" s="23" t="s">
        <v>69</v>
      </c>
      <c r="E234" s="23">
        <v>8.5</v>
      </c>
      <c r="F234" s="23">
        <v>25.6</v>
      </c>
      <c r="G234" s="23" t="s">
        <v>74</v>
      </c>
      <c r="H234" s="23" t="s">
        <v>75</v>
      </c>
    </row>
    <row r="235" spans="1:8" x14ac:dyDescent="0.3">
      <c r="A235" s="37"/>
      <c r="B235" s="37"/>
      <c r="C235" s="23">
        <v>5</v>
      </c>
      <c r="D235" s="23" t="s">
        <v>69</v>
      </c>
      <c r="E235" s="23">
        <v>8.5</v>
      </c>
      <c r="F235" s="23">
        <v>25.6</v>
      </c>
      <c r="G235" s="23" t="s">
        <v>76</v>
      </c>
      <c r="H235" s="23" t="s">
        <v>77</v>
      </c>
    </row>
    <row r="236" spans="1:8" x14ac:dyDescent="0.3">
      <c r="A236" s="37"/>
      <c r="B236" s="37"/>
      <c r="C236" s="23">
        <v>6</v>
      </c>
      <c r="D236" s="23" t="s">
        <v>69</v>
      </c>
      <c r="E236" s="23">
        <v>8.5</v>
      </c>
      <c r="F236" s="23">
        <v>25.6</v>
      </c>
      <c r="G236" s="23" t="s">
        <v>78</v>
      </c>
      <c r="H236" s="23" t="s">
        <v>79</v>
      </c>
    </row>
    <row r="237" spans="1:8" x14ac:dyDescent="0.3">
      <c r="A237" s="37"/>
      <c r="B237" s="37"/>
      <c r="C237" s="23">
        <v>7</v>
      </c>
      <c r="D237" s="23" t="s">
        <v>69</v>
      </c>
      <c r="E237" s="23">
        <v>8.5</v>
      </c>
      <c r="F237" s="23">
        <v>25.6</v>
      </c>
      <c r="G237" s="23" t="s">
        <v>80</v>
      </c>
      <c r="H237" s="23" t="s">
        <v>81</v>
      </c>
    </row>
    <row r="238" spans="1:8" x14ac:dyDescent="0.3">
      <c r="A238" s="37"/>
      <c r="B238" s="37"/>
      <c r="C238" s="23">
        <v>8</v>
      </c>
      <c r="D238" s="23" t="s">
        <v>69</v>
      </c>
      <c r="E238" s="23">
        <v>8.5</v>
      </c>
      <c r="F238" s="23">
        <v>25.6</v>
      </c>
      <c r="G238" s="23" t="s">
        <v>82</v>
      </c>
      <c r="H238" s="23" t="s">
        <v>83</v>
      </c>
    </row>
    <row r="239" spans="1:8" x14ac:dyDescent="0.3">
      <c r="A239" s="38"/>
      <c r="B239" s="38"/>
      <c r="C239" s="23">
        <v>9</v>
      </c>
      <c r="D239" s="23" t="s">
        <v>69</v>
      </c>
      <c r="E239" s="23">
        <v>8.5</v>
      </c>
      <c r="F239" s="23">
        <v>25.6</v>
      </c>
      <c r="G239" s="23" t="s">
        <v>72</v>
      </c>
      <c r="H239" s="23" t="s">
        <v>73</v>
      </c>
    </row>
    <row r="241" spans="1:8" x14ac:dyDescent="0.3">
      <c r="A241" s="36" t="s">
        <v>18</v>
      </c>
      <c r="B241" s="39" t="s">
        <v>17</v>
      </c>
      <c r="C241" s="42" t="s">
        <v>19</v>
      </c>
      <c r="D241" s="43"/>
      <c r="E241" s="43"/>
      <c r="F241" s="43"/>
      <c r="G241" s="44"/>
      <c r="H241" s="39" t="s">
        <v>2</v>
      </c>
    </row>
    <row r="242" spans="1:8" x14ac:dyDescent="0.3">
      <c r="A242" s="37"/>
      <c r="B242" s="40"/>
      <c r="C242" s="36" t="s">
        <v>43</v>
      </c>
      <c r="D242" s="42" t="s">
        <v>21</v>
      </c>
      <c r="E242" s="44"/>
      <c r="F242" s="36" t="s">
        <v>0</v>
      </c>
      <c r="G242" s="36" t="s">
        <v>1</v>
      </c>
      <c r="H242" s="40"/>
    </row>
    <row r="243" spans="1:8" x14ac:dyDescent="0.3">
      <c r="A243" s="37"/>
      <c r="B243" s="40"/>
      <c r="C243" s="37"/>
      <c r="D243" s="20" t="s">
        <v>44</v>
      </c>
      <c r="E243" s="36" t="s">
        <v>23</v>
      </c>
      <c r="F243" s="37"/>
      <c r="G243" s="37"/>
      <c r="H243" s="40"/>
    </row>
    <row r="244" spans="1:8" ht="14.4" customHeight="1" x14ac:dyDescent="0.3">
      <c r="A244" s="38"/>
      <c r="B244" s="40"/>
      <c r="C244" s="38"/>
      <c r="D244" s="21" t="s">
        <v>45</v>
      </c>
      <c r="E244" s="38"/>
      <c r="F244" s="38"/>
      <c r="G244" s="38"/>
      <c r="H244" s="41"/>
    </row>
    <row r="245" spans="1:8" x14ac:dyDescent="0.3">
      <c r="A245" s="22" t="s">
        <v>15</v>
      </c>
      <c r="B245" s="41"/>
      <c r="C245" s="22" t="s">
        <v>15</v>
      </c>
      <c r="D245" s="22" t="s">
        <v>20</v>
      </c>
      <c r="E245" s="22" t="s">
        <v>20</v>
      </c>
      <c r="F245" s="22" t="s">
        <v>20</v>
      </c>
      <c r="G245" s="22" t="s">
        <v>20</v>
      </c>
      <c r="H245" s="22" t="s">
        <v>16</v>
      </c>
    </row>
    <row r="246" spans="1:8" x14ac:dyDescent="0.3">
      <c r="A246" s="36" t="s">
        <v>85</v>
      </c>
      <c r="B246" s="36">
        <v>8000036364</v>
      </c>
      <c r="C246" s="23">
        <v>1</v>
      </c>
      <c r="D246" s="23" t="s">
        <v>47</v>
      </c>
      <c r="E246" s="23" t="s">
        <v>48</v>
      </c>
      <c r="F246" s="23" t="s">
        <v>49</v>
      </c>
      <c r="G246" s="23" t="s">
        <v>50</v>
      </c>
      <c r="H246" s="23" t="s">
        <v>51</v>
      </c>
    </row>
    <row r="247" spans="1:8" x14ac:dyDescent="0.3">
      <c r="A247" s="37"/>
      <c r="B247" s="37"/>
      <c r="C247" s="23">
        <v>2</v>
      </c>
      <c r="D247" s="23" t="s">
        <v>47</v>
      </c>
      <c r="E247" s="23" t="s">
        <v>48</v>
      </c>
      <c r="F247" s="23" t="s">
        <v>49</v>
      </c>
      <c r="G247" s="23" t="s">
        <v>52</v>
      </c>
      <c r="H247" s="23" t="s">
        <v>53</v>
      </c>
    </row>
    <row r="248" spans="1:8" x14ac:dyDescent="0.3">
      <c r="A248" s="37"/>
      <c r="B248" s="37"/>
      <c r="C248" s="23">
        <v>3</v>
      </c>
      <c r="D248" s="23" t="s">
        <v>47</v>
      </c>
      <c r="E248" s="23" t="s">
        <v>48</v>
      </c>
      <c r="F248" s="23" t="s">
        <v>49</v>
      </c>
      <c r="G248" s="23" t="s">
        <v>54</v>
      </c>
      <c r="H248" s="23" t="s">
        <v>55</v>
      </c>
    </row>
    <row r="249" spans="1:8" x14ac:dyDescent="0.3">
      <c r="A249" s="37"/>
      <c r="B249" s="37"/>
      <c r="C249" s="23">
        <v>4</v>
      </c>
      <c r="D249" s="23" t="s">
        <v>47</v>
      </c>
      <c r="E249" s="23" t="s">
        <v>48</v>
      </c>
      <c r="F249" s="23" t="s">
        <v>49</v>
      </c>
      <c r="G249" s="23" t="s">
        <v>56</v>
      </c>
      <c r="H249" s="23" t="s">
        <v>57</v>
      </c>
    </row>
    <row r="250" spans="1:8" x14ac:dyDescent="0.3">
      <c r="A250" s="37"/>
      <c r="B250" s="37"/>
      <c r="C250" s="23">
        <v>5</v>
      </c>
      <c r="D250" s="23" t="s">
        <v>47</v>
      </c>
      <c r="E250" s="23" t="s">
        <v>48</v>
      </c>
      <c r="F250" s="23" t="s">
        <v>49</v>
      </c>
      <c r="G250" s="23" t="s">
        <v>58</v>
      </c>
      <c r="H250" s="23" t="s">
        <v>59</v>
      </c>
    </row>
    <row r="251" spans="1:8" x14ac:dyDescent="0.3">
      <c r="A251" s="37"/>
      <c r="B251" s="37"/>
      <c r="C251" s="23">
        <v>6</v>
      </c>
      <c r="D251" s="23" t="s">
        <v>47</v>
      </c>
      <c r="E251" s="23" t="s">
        <v>48</v>
      </c>
      <c r="F251" s="23" t="s">
        <v>49</v>
      </c>
      <c r="G251" s="23" t="s">
        <v>60</v>
      </c>
      <c r="H251" s="23" t="s">
        <v>61</v>
      </c>
    </row>
    <row r="252" spans="1:8" x14ac:dyDescent="0.3">
      <c r="A252" s="37"/>
      <c r="B252" s="37"/>
      <c r="C252" s="23">
        <v>7</v>
      </c>
      <c r="D252" s="23" t="s">
        <v>47</v>
      </c>
      <c r="E252" s="23" t="s">
        <v>48</v>
      </c>
      <c r="F252" s="23" t="s">
        <v>49</v>
      </c>
      <c r="G252" s="23" t="s">
        <v>62</v>
      </c>
      <c r="H252" s="23" t="s">
        <v>63</v>
      </c>
    </row>
    <row r="253" spans="1:8" x14ac:dyDescent="0.3">
      <c r="A253" s="37"/>
      <c r="B253" s="37"/>
      <c r="C253" s="23">
        <v>8</v>
      </c>
      <c r="D253" s="23" t="s">
        <v>47</v>
      </c>
      <c r="E253" s="23" t="s">
        <v>48</v>
      </c>
      <c r="F253" s="23" t="s">
        <v>49</v>
      </c>
      <c r="G253" s="23" t="s">
        <v>64</v>
      </c>
      <c r="H253" s="23" t="s">
        <v>65</v>
      </c>
    </row>
    <row r="254" spans="1:8" x14ac:dyDescent="0.3">
      <c r="A254" s="38"/>
      <c r="B254" s="38"/>
      <c r="C254" s="23">
        <v>9</v>
      </c>
      <c r="D254" s="23" t="s">
        <v>47</v>
      </c>
      <c r="E254" s="23" t="s">
        <v>48</v>
      </c>
      <c r="F254" s="23" t="s">
        <v>49</v>
      </c>
      <c r="G254" s="23" t="s">
        <v>66</v>
      </c>
      <c r="H254" s="23" t="s">
        <v>67</v>
      </c>
    </row>
    <row r="257" spans="7:39" x14ac:dyDescent="0.3">
      <c r="H257" s="13">
        <v>1</v>
      </c>
      <c r="I257" s="13">
        <v>2</v>
      </c>
      <c r="J257" s="13">
        <v>3</v>
      </c>
      <c r="K257" s="13">
        <v>4</v>
      </c>
      <c r="L257" s="13">
        <v>5</v>
      </c>
      <c r="M257" s="13">
        <v>6</v>
      </c>
      <c r="N257" s="13">
        <v>7</v>
      </c>
      <c r="O257" s="13">
        <v>8</v>
      </c>
      <c r="T257" s="13">
        <v>1</v>
      </c>
      <c r="U257" s="13">
        <v>2</v>
      </c>
      <c r="V257" s="13">
        <v>3</v>
      </c>
      <c r="W257" s="13">
        <v>4</v>
      </c>
      <c r="X257" s="13">
        <v>5</v>
      </c>
      <c r="Y257" s="13">
        <v>6</v>
      </c>
      <c r="Z257" s="13">
        <v>7</v>
      </c>
      <c r="AA257" s="13">
        <v>8</v>
      </c>
      <c r="AF257" s="13">
        <v>1</v>
      </c>
      <c r="AG257" s="13">
        <v>2</v>
      </c>
      <c r="AH257" s="13">
        <v>3</v>
      </c>
      <c r="AI257" s="13">
        <v>4</v>
      </c>
      <c r="AJ257" s="13">
        <v>5</v>
      </c>
      <c r="AK257" s="13">
        <v>6</v>
      </c>
      <c r="AL257" s="13">
        <v>7</v>
      </c>
      <c r="AM257" s="13">
        <v>8</v>
      </c>
    </row>
    <row r="258" spans="7:39" ht="28.8" x14ac:dyDescent="0.3">
      <c r="H258" s="13" t="s">
        <v>16</v>
      </c>
      <c r="I258" s="13" t="s">
        <v>18</v>
      </c>
      <c r="J258" s="13" t="s">
        <v>17</v>
      </c>
      <c r="K258" s="13" t="s">
        <v>15</v>
      </c>
      <c r="L258" s="24" t="s">
        <v>33</v>
      </c>
      <c r="M258" s="13" t="s">
        <v>32</v>
      </c>
      <c r="N258" s="13" t="s">
        <v>30</v>
      </c>
      <c r="O258" s="13" t="s">
        <v>31</v>
      </c>
      <c r="T258" s="13" t="s">
        <v>16</v>
      </c>
      <c r="U258" s="13" t="s">
        <v>18</v>
      </c>
      <c r="V258" s="13" t="s">
        <v>17</v>
      </c>
      <c r="W258" s="13" t="s">
        <v>15</v>
      </c>
      <c r="X258" s="24" t="s">
        <v>33</v>
      </c>
      <c r="Y258" s="13" t="s">
        <v>32</v>
      </c>
      <c r="Z258" s="13" t="s">
        <v>30</v>
      </c>
      <c r="AA258" s="13" t="s">
        <v>31</v>
      </c>
      <c r="AF258" s="13" t="s">
        <v>16</v>
      </c>
      <c r="AG258" s="13" t="s">
        <v>18</v>
      </c>
      <c r="AH258" s="13" t="s">
        <v>17</v>
      </c>
      <c r="AI258" s="13" t="s">
        <v>15</v>
      </c>
      <c r="AJ258" s="24" t="s">
        <v>33</v>
      </c>
      <c r="AK258" s="13" t="s">
        <v>32</v>
      </c>
      <c r="AL258" s="13" t="s">
        <v>30</v>
      </c>
      <c r="AM258" s="13" t="s">
        <v>31</v>
      </c>
    </row>
    <row r="259" spans="7:39" x14ac:dyDescent="0.3">
      <c r="G259" s="13">
        <v>1</v>
      </c>
      <c r="H259" s="18">
        <v>9.3000000000000007</v>
      </c>
      <c r="I259" s="14" t="s">
        <v>3</v>
      </c>
      <c r="J259" s="14">
        <v>8000036371</v>
      </c>
      <c r="K259" s="18" t="s">
        <v>4</v>
      </c>
      <c r="L259" s="18">
        <v>5.0999999999999996</v>
      </c>
      <c r="M259" s="18">
        <v>7.4</v>
      </c>
      <c r="N259" s="18">
        <v>18.5</v>
      </c>
      <c r="O259" s="18">
        <v>20</v>
      </c>
      <c r="S259" s="13">
        <v>1</v>
      </c>
      <c r="T259" s="23">
        <v>9.3000000000000007</v>
      </c>
      <c r="U259" s="14" t="s">
        <v>46</v>
      </c>
      <c r="V259" s="14">
        <v>8000036365</v>
      </c>
      <c r="W259" s="23">
        <v>1</v>
      </c>
      <c r="X259" s="23">
        <v>5.0999999999999996</v>
      </c>
      <c r="Y259" s="23">
        <v>7.4</v>
      </c>
      <c r="Z259" s="23">
        <v>18.5</v>
      </c>
      <c r="AA259" s="23">
        <v>20</v>
      </c>
      <c r="AE259" s="13">
        <v>1</v>
      </c>
      <c r="AF259" s="23">
        <v>9.3000000000000007</v>
      </c>
      <c r="AG259" s="14" t="s">
        <v>85</v>
      </c>
      <c r="AH259" s="14">
        <v>8000036364</v>
      </c>
      <c r="AI259" s="23">
        <v>1</v>
      </c>
      <c r="AJ259" s="23">
        <v>5.0999999999999996</v>
      </c>
      <c r="AK259" s="23">
        <v>7.4</v>
      </c>
      <c r="AL259" s="23">
        <v>18.5</v>
      </c>
      <c r="AM259" s="23">
        <v>20</v>
      </c>
    </row>
    <row r="260" spans="7:39" x14ac:dyDescent="0.3">
      <c r="G260" s="13">
        <v>2</v>
      </c>
      <c r="H260" s="18">
        <v>10.6</v>
      </c>
      <c r="I260" s="14" t="s">
        <v>3</v>
      </c>
      <c r="J260" s="14">
        <v>8000036371</v>
      </c>
      <c r="K260" s="18" t="s">
        <v>9</v>
      </c>
      <c r="L260" s="18">
        <v>5.0999999999999996</v>
      </c>
      <c r="M260" s="18">
        <v>7.4</v>
      </c>
      <c r="N260" s="18">
        <v>18.5</v>
      </c>
      <c r="O260" s="18">
        <v>22.9</v>
      </c>
      <c r="S260" s="13">
        <v>2</v>
      </c>
      <c r="T260" s="23">
        <v>10.6</v>
      </c>
      <c r="U260" s="14" t="s">
        <v>46</v>
      </c>
      <c r="V260" s="14">
        <v>8000036365</v>
      </c>
      <c r="W260" s="23">
        <v>6</v>
      </c>
      <c r="X260" s="23">
        <v>5.0999999999999996</v>
      </c>
      <c r="Y260" s="23">
        <v>7.4</v>
      </c>
      <c r="Z260" s="23">
        <v>18.5</v>
      </c>
      <c r="AA260" s="23">
        <v>22.9</v>
      </c>
      <c r="AE260" s="13">
        <v>2</v>
      </c>
      <c r="AF260" s="23">
        <v>10.6</v>
      </c>
      <c r="AG260" s="14" t="s">
        <v>85</v>
      </c>
      <c r="AH260" s="14">
        <v>8000036364</v>
      </c>
      <c r="AI260" s="23">
        <v>6</v>
      </c>
      <c r="AJ260" s="23">
        <v>5.0999999999999996</v>
      </c>
      <c r="AK260" s="23">
        <v>7.4</v>
      </c>
      <c r="AL260" s="23">
        <v>18.5</v>
      </c>
      <c r="AM260" s="23">
        <v>22.9</v>
      </c>
    </row>
    <row r="261" spans="7:39" x14ac:dyDescent="0.3">
      <c r="G261" s="13">
        <v>3</v>
      </c>
      <c r="H261" s="18">
        <v>10.7</v>
      </c>
      <c r="I261" s="14" t="s">
        <v>3</v>
      </c>
      <c r="J261" s="14">
        <v>8000036371</v>
      </c>
      <c r="K261" s="18" t="s">
        <v>7</v>
      </c>
      <c r="L261" s="18">
        <v>5.0999999999999996</v>
      </c>
      <c r="M261" s="18">
        <v>7.4</v>
      </c>
      <c r="N261" s="18">
        <v>18.5</v>
      </c>
      <c r="O261" s="18">
        <v>23.1</v>
      </c>
      <c r="S261" s="13">
        <v>3</v>
      </c>
      <c r="T261" s="23">
        <v>10.7</v>
      </c>
      <c r="U261" s="14" t="s">
        <v>46</v>
      </c>
      <c r="V261" s="14">
        <v>8000036365</v>
      </c>
      <c r="W261" s="23">
        <v>4</v>
      </c>
      <c r="X261" s="23">
        <v>5.0999999999999996</v>
      </c>
      <c r="Y261" s="23">
        <v>7.4</v>
      </c>
      <c r="Z261" s="23">
        <v>18.5</v>
      </c>
      <c r="AA261" s="23">
        <v>23.1</v>
      </c>
      <c r="AE261" s="13">
        <v>3</v>
      </c>
      <c r="AF261" s="23">
        <v>10.7</v>
      </c>
      <c r="AG261" s="14" t="s">
        <v>85</v>
      </c>
      <c r="AH261" s="14">
        <v>8000036364</v>
      </c>
      <c r="AI261" s="23">
        <v>4</v>
      </c>
      <c r="AJ261" s="23">
        <v>5.0999999999999996</v>
      </c>
      <c r="AK261" s="23">
        <v>7.4</v>
      </c>
      <c r="AL261" s="23">
        <v>18.5</v>
      </c>
      <c r="AM261" s="23">
        <v>23.1</v>
      </c>
    </row>
    <row r="262" spans="7:39" x14ac:dyDescent="0.3">
      <c r="G262" s="13">
        <v>4</v>
      </c>
      <c r="H262" s="18">
        <v>10.8</v>
      </c>
      <c r="I262" s="14" t="s">
        <v>3</v>
      </c>
      <c r="J262" s="14">
        <v>8000036371</v>
      </c>
      <c r="K262" s="18" t="s">
        <v>10</v>
      </c>
      <c r="L262" s="18">
        <v>5.0999999999999996</v>
      </c>
      <c r="M262" s="18">
        <v>7.4</v>
      </c>
      <c r="N262" s="18">
        <v>18.5</v>
      </c>
      <c r="O262" s="18">
        <v>23.3</v>
      </c>
      <c r="S262" s="13">
        <v>4</v>
      </c>
      <c r="T262" s="23">
        <v>10.8</v>
      </c>
      <c r="U262" s="14" t="s">
        <v>46</v>
      </c>
      <c r="V262" s="14">
        <v>8000036365</v>
      </c>
      <c r="W262" s="23">
        <v>7</v>
      </c>
      <c r="X262" s="23">
        <v>5.0999999999999996</v>
      </c>
      <c r="Y262" s="23">
        <v>7.4</v>
      </c>
      <c r="Z262" s="23">
        <v>18.5</v>
      </c>
      <c r="AA262" s="23">
        <v>23.3</v>
      </c>
      <c r="AE262" s="13">
        <v>4</v>
      </c>
      <c r="AF262" s="23">
        <v>10.8</v>
      </c>
      <c r="AG262" s="14" t="s">
        <v>85</v>
      </c>
      <c r="AH262" s="14">
        <v>8000036364</v>
      </c>
      <c r="AI262" s="23">
        <v>7</v>
      </c>
      <c r="AJ262" s="23">
        <v>5.0999999999999996</v>
      </c>
      <c r="AK262" s="23">
        <v>7.4</v>
      </c>
      <c r="AL262" s="23">
        <v>18.5</v>
      </c>
      <c r="AM262" s="23">
        <v>23.3</v>
      </c>
    </row>
    <row r="263" spans="7:39" x14ac:dyDescent="0.3">
      <c r="G263" s="13">
        <v>5</v>
      </c>
      <c r="H263" s="18">
        <v>11.1</v>
      </c>
      <c r="I263" s="14" t="s">
        <v>3</v>
      </c>
      <c r="J263" s="14">
        <v>8000036371</v>
      </c>
      <c r="K263" s="18" t="s">
        <v>11</v>
      </c>
      <c r="L263" s="18">
        <v>5.0999999999999996</v>
      </c>
      <c r="M263" s="18">
        <v>7.4</v>
      </c>
      <c r="N263" s="18">
        <v>18.5</v>
      </c>
      <c r="O263" s="18">
        <v>23.9</v>
      </c>
      <c r="S263" s="13">
        <v>5</v>
      </c>
      <c r="T263" s="23">
        <v>11.1</v>
      </c>
      <c r="U263" s="14" t="s">
        <v>46</v>
      </c>
      <c r="V263" s="14">
        <v>8000036365</v>
      </c>
      <c r="W263" s="23">
        <v>8</v>
      </c>
      <c r="X263" s="23">
        <v>5.0999999999999996</v>
      </c>
      <c r="Y263" s="23">
        <v>7.4</v>
      </c>
      <c r="Z263" s="23">
        <v>18.5</v>
      </c>
      <c r="AA263" s="23">
        <v>23.9</v>
      </c>
      <c r="AE263" s="13">
        <v>5</v>
      </c>
      <c r="AF263" s="23">
        <v>11.1</v>
      </c>
      <c r="AG263" s="14" t="s">
        <v>85</v>
      </c>
      <c r="AH263" s="14">
        <v>8000036364</v>
      </c>
      <c r="AI263" s="23">
        <v>8</v>
      </c>
      <c r="AJ263" s="23">
        <v>5.0999999999999996</v>
      </c>
      <c r="AK263" s="23">
        <v>7.4</v>
      </c>
      <c r="AL263" s="23">
        <v>18.5</v>
      </c>
      <c r="AM263" s="23">
        <v>23.9</v>
      </c>
    </row>
    <row r="264" spans="7:39" x14ac:dyDescent="0.3">
      <c r="G264" s="13">
        <v>6</v>
      </c>
      <c r="H264" s="18">
        <v>11.5</v>
      </c>
      <c r="I264" s="14" t="s">
        <v>3</v>
      </c>
      <c r="J264" s="14">
        <v>8000036371</v>
      </c>
      <c r="K264" s="18" t="s">
        <v>5</v>
      </c>
      <c r="L264" s="18">
        <v>5.0999999999999996</v>
      </c>
      <c r="M264" s="18">
        <v>7.4</v>
      </c>
      <c r="N264" s="18">
        <v>18.5</v>
      </c>
      <c r="O264" s="18">
        <v>24.8</v>
      </c>
      <c r="S264" s="13">
        <v>6</v>
      </c>
      <c r="T264" s="23">
        <v>11.5</v>
      </c>
      <c r="U264" s="14" t="s">
        <v>46</v>
      </c>
      <c r="V264" s="14">
        <v>8000036365</v>
      </c>
      <c r="W264" s="23">
        <v>2</v>
      </c>
      <c r="X264" s="23">
        <v>5.0999999999999996</v>
      </c>
      <c r="Y264" s="23">
        <v>7.4</v>
      </c>
      <c r="Z264" s="23">
        <v>18.5</v>
      </c>
      <c r="AA264" s="23">
        <v>24.8</v>
      </c>
      <c r="AE264" s="13">
        <v>6</v>
      </c>
      <c r="AF264" s="23">
        <v>11.5</v>
      </c>
      <c r="AG264" s="14" t="s">
        <v>85</v>
      </c>
      <c r="AH264" s="14">
        <v>8000036364</v>
      </c>
      <c r="AI264" s="23">
        <v>2</v>
      </c>
      <c r="AJ264" s="23">
        <v>5.0999999999999996</v>
      </c>
      <c r="AK264" s="23">
        <v>7.4</v>
      </c>
      <c r="AL264" s="23">
        <v>18.5</v>
      </c>
      <c r="AM264" s="23">
        <v>24.8</v>
      </c>
    </row>
    <row r="265" spans="7:39" x14ac:dyDescent="0.3">
      <c r="G265" s="13">
        <v>7</v>
      </c>
      <c r="H265" s="18">
        <v>11.6</v>
      </c>
      <c r="I265" s="14" t="s">
        <v>3</v>
      </c>
      <c r="J265" s="14">
        <v>8000036371</v>
      </c>
      <c r="K265" s="18" t="s">
        <v>6</v>
      </c>
      <c r="L265" s="18">
        <v>5.0999999999999996</v>
      </c>
      <c r="M265" s="18">
        <v>7.4</v>
      </c>
      <c r="N265" s="18">
        <v>18.5</v>
      </c>
      <c r="O265" s="18">
        <v>26</v>
      </c>
      <c r="S265" s="13">
        <v>7</v>
      </c>
      <c r="T265" s="23">
        <v>11.6</v>
      </c>
      <c r="U265" s="14" t="s">
        <v>46</v>
      </c>
      <c r="V265" s="14">
        <v>8000036365</v>
      </c>
      <c r="W265" s="23">
        <v>9</v>
      </c>
      <c r="X265" s="23">
        <v>5.0999999999999996</v>
      </c>
      <c r="Y265" s="23">
        <v>7.4</v>
      </c>
      <c r="Z265" s="23">
        <v>18.5</v>
      </c>
      <c r="AA265" s="23">
        <v>24.9</v>
      </c>
      <c r="AE265" s="13">
        <v>7</v>
      </c>
      <c r="AF265" s="23">
        <v>11.6</v>
      </c>
      <c r="AG265" s="14" t="s">
        <v>85</v>
      </c>
      <c r="AH265" s="14">
        <v>8000036364</v>
      </c>
      <c r="AI265" s="23">
        <v>9</v>
      </c>
      <c r="AJ265" s="23">
        <v>5.0999999999999996</v>
      </c>
      <c r="AK265" s="23">
        <v>7.4</v>
      </c>
      <c r="AL265" s="23">
        <v>18.5</v>
      </c>
      <c r="AM265" s="23">
        <v>24.9</v>
      </c>
    </row>
    <row r="266" spans="7:39" x14ac:dyDescent="0.3">
      <c r="G266" s="13">
        <v>8</v>
      </c>
      <c r="H266" s="18">
        <v>11.6</v>
      </c>
      <c r="I266" s="14" t="s">
        <v>3</v>
      </c>
      <c r="J266" s="14">
        <v>8000036371</v>
      </c>
      <c r="K266" s="18" t="s">
        <v>12</v>
      </c>
      <c r="L266" s="18">
        <v>5.0999999999999996</v>
      </c>
      <c r="M266" s="18">
        <v>7.4</v>
      </c>
      <c r="N266" s="18">
        <v>18.5</v>
      </c>
      <c r="O266" s="18">
        <v>24.9</v>
      </c>
      <c r="S266" s="13">
        <v>8</v>
      </c>
      <c r="T266" s="23">
        <v>11.7</v>
      </c>
      <c r="U266" s="14" t="s">
        <v>46</v>
      </c>
      <c r="V266" s="14">
        <v>8000036365</v>
      </c>
      <c r="W266" s="23">
        <v>5</v>
      </c>
      <c r="X266" s="23">
        <v>5.0999999999999996</v>
      </c>
      <c r="Y266" s="23">
        <v>7.4</v>
      </c>
      <c r="Z266" s="23">
        <v>18.5</v>
      </c>
      <c r="AA266" s="23">
        <v>25.2</v>
      </c>
      <c r="AE266" s="13">
        <v>8</v>
      </c>
      <c r="AF266" s="23">
        <v>11.7</v>
      </c>
      <c r="AG266" s="14" t="s">
        <v>85</v>
      </c>
      <c r="AH266" s="14">
        <v>8000036364</v>
      </c>
      <c r="AI266" s="23">
        <v>5</v>
      </c>
      <c r="AJ266" s="23">
        <v>5.0999999999999996</v>
      </c>
      <c r="AK266" s="23">
        <v>7.4</v>
      </c>
      <c r="AL266" s="23">
        <v>18.5</v>
      </c>
      <c r="AM266" s="23">
        <v>25.2</v>
      </c>
    </row>
    <row r="267" spans="7:39" x14ac:dyDescent="0.3">
      <c r="G267" s="13">
        <v>9</v>
      </c>
      <c r="H267" s="18">
        <v>11.7</v>
      </c>
      <c r="I267" s="14" t="s">
        <v>3</v>
      </c>
      <c r="J267" s="14">
        <v>8000036371</v>
      </c>
      <c r="K267" s="18" t="s">
        <v>8</v>
      </c>
      <c r="L267" s="18">
        <v>5.0999999999999996</v>
      </c>
      <c r="M267" s="18">
        <v>7.4</v>
      </c>
      <c r="N267" s="18">
        <v>18.5</v>
      </c>
      <c r="O267" s="18">
        <v>25.2</v>
      </c>
      <c r="S267" s="13">
        <v>9</v>
      </c>
      <c r="T267" s="23">
        <v>12.1</v>
      </c>
      <c r="U267" s="14" t="s">
        <v>46</v>
      </c>
      <c r="V267" s="14">
        <v>8000036365</v>
      </c>
      <c r="W267" s="23">
        <v>3</v>
      </c>
      <c r="X267" s="23">
        <v>5.0999999999999996</v>
      </c>
      <c r="Y267" s="23">
        <v>7.4</v>
      </c>
      <c r="Z267" s="23">
        <v>18.5</v>
      </c>
      <c r="AA267" s="23">
        <v>26</v>
      </c>
      <c r="AE267" s="13">
        <v>9</v>
      </c>
      <c r="AF267" s="23">
        <v>12.1</v>
      </c>
      <c r="AG267" s="14" t="s">
        <v>85</v>
      </c>
      <c r="AH267" s="14">
        <v>8000036364</v>
      </c>
      <c r="AI267" s="23">
        <v>3</v>
      </c>
      <c r="AJ267" s="23">
        <v>5.0999999999999996</v>
      </c>
      <c r="AK267" s="23">
        <v>7.4</v>
      </c>
      <c r="AL267" s="23">
        <v>18.5</v>
      </c>
      <c r="AM267" s="23">
        <v>26</v>
      </c>
    </row>
    <row r="268" spans="7:39" x14ac:dyDescent="0.3">
      <c r="G268" s="13">
        <v>10</v>
      </c>
      <c r="H268" s="18">
        <v>12.1</v>
      </c>
      <c r="I268" s="14" t="s">
        <v>13</v>
      </c>
      <c r="J268" s="14" t="s">
        <v>14</v>
      </c>
      <c r="K268" s="18" t="s">
        <v>4</v>
      </c>
      <c r="L268" s="18">
        <v>6.4</v>
      </c>
      <c r="M268" s="18">
        <v>8.5</v>
      </c>
      <c r="N268" s="18">
        <v>25.6</v>
      </c>
      <c r="O268" s="18">
        <v>26</v>
      </c>
      <c r="S268" s="13">
        <v>10</v>
      </c>
      <c r="T268" s="23">
        <v>12.1</v>
      </c>
      <c r="U268" s="14" t="s">
        <v>68</v>
      </c>
      <c r="V268" s="14">
        <v>8000036373</v>
      </c>
      <c r="W268" s="23">
        <v>1</v>
      </c>
      <c r="X268" s="23">
        <v>6.4</v>
      </c>
      <c r="Y268" s="23">
        <v>8.5</v>
      </c>
      <c r="Z268" s="23">
        <v>25.6</v>
      </c>
      <c r="AA268" s="23">
        <v>26</v>
      </c>
    </row>
    <row r="269" spans="7:39" x14ac:dyDescent="0.3">
      <c r="G269" s="13">
        <v>11</v>
      </c>
      <c r="H269" s="18">
        <v>12.3</v>
      </c>
      <c r="I269" s="14" t="s">
        <v>13</v>
      </c>
      <c r="J269" s="14" t="s">
        <v>14</v>
      </c>
      <c r="K269" s="18" t="s">
        <v>11</v>
      </c>
      <c r="L269" s="18">
        <v>6.4</v>
      </c>
      <c r="M269" s="18">
        <v>8.5</v>
      </c>
      <c r="N269" s="18">
        <v>25.6</v>
      </c>
      <c r="O269" s="18">
        <v>26.5</v>
      </c>
      <c r="S269" s="13">
        <v>11</v>
      </c>
      <c r="T269" s="23">
        <v>12.3</v>
      </c>
      <c r="U269" s="14" t="s">
        <v>68</v>
      </c>
      <c r="V269" s="14">
        <v>8000036373</v>
      </c>
      <c r="W269" s="23">
        <v>8</v>
      </c>
      <c r="X269" s="23">
        <v>6.4</v>
      </c>
      <c r="Y269" s="23">
        <v>8.5</v>
      </c>
      <c r="Z269" s="23">
        <v>25.6</v>
      </c>
      <c r="AA269" s="23">
        <v>26.5</v>
      </c>
      <c r="AF269" s="13" t="s">
        <v>41</v>
      </c>
      <c r="AG269" s="13">
        <f>MIN(_xlfn.XMATCH(Valeur_debit_massique,Colonne_debit_massique,-1),9)</f>
        <v>9</v>
      </c>
    </row>
    <row r="270" spans="7:39" ht="15" thickBot="1" x14ac:dyDescent="0.35">
      <c r="G270" s="13">
        <v>12</v>
      </c>
      <c r="H270" s="18">
        <v>13.1</v>
      </c>
      <c r="I270" s="14" t="s">
        <v>13</v>
      </c>
      <c r="J270" s="14" t="s">
        <v>14</v>
      </c>
      <c r="K270" s="18" t="s">
        <v>10</v>
      </c>
      <c r="L270" s="18">
        <v>6.4</v>
      </c>
      <c r="M270" s="18">
        <v>8.5</v>
      </c>
      <c r="N270" s="18">
        <v>25.6</v>
      </c>
      <c r="O270" s="18">
        <v>28.3</v>
      </c>
      <c r="S270" s="13">
        <v>12</v>
      </c>
      <c r="T270" s="23">
        <v>13.1</v>
      </c>
      <c r="U270" s="14" t="s">
        <v>68</v>
      </c>
      <c r="V270" s="14">
        <v>8000036373</v>
      </c>
      <c r="W270" s="23">
        <v>7</v>
      </c>
      <c r="X270" s="23">
        <v>6.4</v>
      </c>
      <c r="Y270" s="23">
        <v>8.5</v>
      </c>
      <c r="Z270" s="23">
        <v>25.6</v>
      </c>
      <c r="AA270" s="23">
        <v>28.3</v>
      </c>
    </row>
    <row r="271" spans="7:39" x14ac:dyDescent="0.3">
      <c r="G271" s="13">
        <v>13</v>
      </c>
      <c r="H271" s="18">
        <v>13.3</v>
      </c>
      <c r="I271" s="14" t="s">
        <v>13</v>
      </c>
      <c r="J271" s="14" t="s">
        <v>14</v>
      </c>
      <c r="K271" s="18" t="s">
        <v>7</v>
      </c>
      <c r="L271" s="18">
        <v>6.4</v>
      </c>
      <c r="M271" s="18">
        <v>8.5</v>
      </c>
      <c r="N271" s="18">
        <v>25.6</v>
      </c>
      <c r="O271" s="18">
        <v>28.7</v>
      </c>
      <c r="S271" s="13">
        <v>13</v>
      </c>
      <c r="T271" s="23">
        <v>13.3</v>
      </c>
      <c r="U271" s="14" t="s">
        <v>68</v>
      </c>
      <c r="V271" s="14">
        <v>8000036373</v>
      </c>
      <c r="W271" s="23">
        <v>4</v>
      </c>
      <c r="X271" s="23">
        <v>6.4</v>
      </c>
      <c r="Y271" s="23">
        <v>8.5</v>
      </c>
      <c r="Z271" s="23">
        <v>25.6</v>
      </c>
      <c r="AA271" s="23">
        <v>28.7</v>
      </c>
      <c r="AE271" s="25">
        <v>1</v>
      </c>
      <c r="AF271" s="26" cm="1">
        <f t="array" aca="1" ref="AF271:AM279" ca="1">OFFSET(AF259:AM259,0,0,AG269)</f>
        <v>9.3000000000000007</v>
      </c>
      <c r="AG271" s="26" t="str">
        <f ca="1"/>
        <v>IsoTwin M-Condens 26-AS/1 M</v>
      </c>
      <c r="AH271" s="26">
        <f ca="1"/>
        <v>8000036364</v>
      </c>
      <c r="AI271" s="26">
        <f ca="1"/>
        <v>1</v>
      </c>
      <c r="AJ271" s="26">
        <f ca="1"/>
        <v>5.0999999999999996</v>
      </c>
      <c r="AK271" s="26">
        <f ca="1"/>
        <v>7.4</v>
      </c>
      <c r="AL271" s="26">
        <f ca="1"/>
        <v>18.5</v>
      </c>
      <c r="AM271" s="27">
        <f ca="1"/>
        <v>20</v>
      </c>
    </row>
    <row r="272" spans="7:39" x14ac:dyDescent="0.3">
      <c r="G272" s="13">
        <v>14</v>
      </c>
      <c r="H272" s="18">
        <v>13.5</v>
      </c>
      <c r="I272" s="14" t="s">
        <v>13</v>
      </c>
      <c r="J272" s="14" t="s">
        <v>14</v>
      </c>
      <c r="K272" s="18" t="s">
        <v>9</v>
      </c>
      <c r="L272" s="18">
        <v>6.4</v>
      </c>
      <c r="M272" s="18">
        <v>8.5</v>
      </c>
      <c r="N272" s="18">
        <v>25.6</v>
      </c>
      <c r="O272" s="18">
        <v>29.1</v>
      </c>
      <c r="S272" s="13">
        <v>14</v>
      </c>
      <c r="T272" s="23">
        <v>13.5</v>
      </c>
      <c r="U272" s="14" t="s">
        <v>68</v>
      </c>
      <c r="V272" s="14">
        <v>8000036373</v>
      </c>
      <c r="W272" s="23">
        <v>6</v>
      </c>
      <c r="X272" s="23">
        <v>6.4</v>
      </c>
      <c r="Y272" s="23">
        <v>8.5</v>
      </c>
      <c r="Z272" s="23">
        <v>25.6</v>
      </c>
      <c r="AA272" s="23">
        <v>29.1</v>
      </c>
      <c r="AE272" s="28">
        <v>2</v>
      </c>
      <c r="AF272" s="29">
        <f ca="1"/>
        <v>10.6</v>
      </c>
      <c r="AG272" s="29" t="str">
        <f ca="1"/>
        <v>IsoTwin M-Condens 26-AS/1 M</v>
      </c>
      <c r="AH272" s="29">
        <f ca="1"/>
        <v>8000036364</v>
      </c>
      <c r="AI272" s="29">
        <f ca="1"/>
        <v>6</v>
      </c>
      <c r="AJ272" s="29">
        <f ca="1"/>
        <v>5.0999999999999996</v>
      </c>
      <c r="AK272" s="29">
        <f ca="1"/>
        <v>7.4</v>
      </c>
      <c r="AL272" s="29">
        <f ca="1"/>
        <v>18.5</v>
      </c>
      <c r="AM272" s="30">
        <f ca="1"/>
        <v>22.9</v>
      </c>
    </row>
    <row r="273" spans="7:40" x14ac:dyDescent="0.3">
      <c r="G273" s="13">
        <v>15</v>
      </c>
      <c r="H273" s="18">
        <v>13.7</v>
      </c>
      <c r="I273" s="14" t="s">
        <v>13</v>
      </c>
      <c r="J273" s="14" t="s">
        <v>14</v>
      </c>
      <c r="K273" s="18" t="s">
        <v>8</v>
      </c>
      <c r="L273" s="18">
        <v>6.4</v>
      </c>
      <c r="M273" s="18">
        <v>8.5</v>
      </c>
      <c r="N273" s="18">
        <v>25.6</v>
      </c>
      <c r="O273" s="18">
        <v>29.5</v>
      </c>
      <c r="S273" s="13">
        <v>15</v>
      </c>
      <c r="T273" s="23">
        <v>13.7</v>
      </c>
      <c r="U273" s="14" t="s">
        <v>68</v>
      </c>
      <c r="V273" s="14">
        <v>8000036373</v>
      </c>
      <c r="W273" s="23">
        <v>5</v>
      </c>
      <c r="X273" s="23">
        <v>6.4</v>
      </c>
      <c r="Y273" s="23">
        <v>8.5</v>
      </c>
      <c r="Z273" s="23">
        <v>25.6</v>
      </c>
      <c r="AA273" s="23">
        <v>29.5</v>
      </c>
      <c r="AE273" s="28">
        <v>3</v>
      </c>
      <c r="AF273" s="29">
        <f ca="1"/>
        <v>10.7</v>
      </c>
      <c r="AG273" s="29" t="str">
        <f ca="1"/>
        <v>IsoTwin M-Condens 26-AS/1 M</v>
      </c>
      <c r="AH273" s="29">
        <f ca="1"/>
        <v>8000036364</v>
      </c>
      <c r="AI273" s="29">
        <f ca="1"/>
        <v>4</v>
      </c>
      <c r="AJ273" s="29">
        <f ca="1"/>
        <v>5.0999999999999996</v>
      </c>
      <c r="AK273" s="29">
        <f ca="1"/>
        <v>7.4</v>
      </c>
      <c r="AL273" s="29">
        <f ca="1"/>
        <v>18.5</v>
      </c>
      <c r="AM273" s="30">
        <f ca="1"/>
        <v>23.1</v>
      </c>
    </row>
    <row r="274" spans="7:40" x14ac:dyDescent="0.3">
      <c r="G274" s="13">
        <v>16</v>
      </c>
      <c r="H274" s="18">
        <v>13.8</v>
      </c>
      <c r="I274" s="14" t="s">
        <v>13</v>
      </c>
      <c r="J274" s="14" t="s">
        <v>14</v>
      </c>
      <c r="K274" s="18" t="s">
        <v>5</v>
      </c>
      <c r="L274" s="18">
        <v>6.4</v>
      </c>
      <c r="M274" s="18">
        <v>8.5</v>
      </c>
      <c r="N274" s="18">
        <v>25.6</v>
      </c>
      <c r="O274" s="18">
        <v>29.8</v>
      </c>
      <c r="S274" s="13">
        <v>16</v>
      </c>
      <c r="T274" s="23">
        <v>13.8</v>
      </c>
      <c r="U274" s="14" t="s">
        <v>68</v>
      </c>
      <c r="V274" s="14">
        <v>8000036373</v>
      </c>
      <c r="W274" s="23">
        <v>2</v>
      </c>
      <c r="X274" s="23">
        <v>6.4</v>
      </c>
      <c r="Y274" s="23">
        <v>8.5</v>
      </c>
      <c r="Z274" s="23">
        <v>25.6</v>
      </c>
      <c r="AA274" s="23">
        <v>29.8</v>
      </c>
      <c r="AE274" s="28">
        <v>4</v>
      </c>
      <c r="AF274" s="29">
        <f ca="1"/>
        <v>10.8</v>
      </c>
      <c r="AG274" s="29" t="str">
        <f ca="1"/>
        <v>IsoTwin M-Condens 26-AS/1 M</v>
      </c>
      <c r="AH274" s="29">
        <f ca="1"/>
        <v>8000036364</v>
      </c>
      <c r="AI274" s="29">
        <f ca="1"/>
        <v>7</v>
      </c>
      <c r="AJ274" s="29">
        <f ca="1"/>
        <v>5.0999999999999996</v>
      </c>
      <c r="AK274" s="29">
        <f ca="1"/>
        <v>7.4</v>
      </c>
      <c r="AL274" s="29">
        <f ca="1"/>
        <v>18.5</v>
      </c>
      <c r="AM274" s="30">
        <f ca="1"/>
        <v>23.3</v>
      </c>
    </row>
    <row r="275" spans="7:40" x14ac:dyDescent="0.3">
      <c r="G275" s="13">
        <v>17</v>
      </c>
      <c r="H275" s="18">
        <v>13.9</v>
      </c>
      <c r="I275" s="14" t="s">
        <v>13</v>
      </c>
      <c r="J275" s="14" t="s">
        <v>14</v>
      </c>
      <c r="K275" s="18" t="s">
        <v>6</v>
      </c>
      <c r="L275" s="18">
        <v>6.4</v>
      </c>
      <c r="M275" s="18">
        <v>8.5</v>
      </c>
      <c r="N275" s="18">
        <v>25.6</v>
      </c>
      <c r="O275" s="18">
        <v>31</v>
      </c>
      <c r="S275" s="13">
        <v>17</v>
      </c>
      <c r="T275" s="23">
        <v>14.4</v>
      </c>
      <c r="U275" s="14" t="s">
        <v>68</v>
      </c>
      <c r="V275" s="14">
        <v>8000036373</v>
      </c>
      <c r="W275" s="23">
        <v>3</v>
      </c>
      <c r="X275" s="23">
        <v>6.4</v>
      </c>
      <c r="Y275" s="23">
        <v>8.5</v>
      </c>
      <c r="Z275" s="23">
        <v>25.6</v>
      </c>
      <c r="AA275" s="23">
        <v>31</v>
      </c>
      <c r="AE275" s="28">
        <v>5</v>
      </c>
      <c r="AF275" s="29">
        <f ca="1"/>
        <v>11.1</v>
      </c>
      <c r="AG275" s="29" t="str">
        <f ca="1"/>
        <v>IsoTwin M-Condens 26-AS/1 M</v>
      </c>
      <c r="AH275" s="29">
        <f ca="1"/>
        <v>8000036364</v>
      </c>
      <c r="AI275" s="29">
        <f ca="1"/>
        <v>8</v>
      </c>
      <c r="AJ275" s="29">
        <f ca="1"/>
        <v>5.0999999999999996</v>
      </c>
      <c r="AK275" s="29">
        <f ca="1"/>
        <v>7.4</v>
      </c>
      <c r="AL275" s="29">
        <f ca="1"/>
        <v>18.5</v>
      </c>
      <c r="AM275" s="30">
        <f ca="1"/>
        <v>23.9</v>
      </c>
    </row>
    <row r="276" spans="7:40" x14ac:dyDescent="0.3">
      <c r="G276" s="13">
        <v>18</v>
      </c>
      <c r="H276" s="18">
        <v>14.4</v>
      </c>
      <c r="I276" s="14" t="s">
        <v>13</v>
      </c>
      <c r="J276" s="14" t="s">
        <v>14</v>
      </c>
      <c r="K276" s="18" t="s">
        <v>12</v>
      </c>
      <c r="L276" s="18">
        <v>6.4</v>
      </c>
      <c r="M276" s="18">
        <v>8.5</v>
      </c>
      <c r="N276" s="18">
        <v>25.6</v>
      </c>
      <c r="O276" s="18">
        <v>31</v>
      </c>
      <c r="S276" s="13">
        <v>18</v>
      </c>
      <c r="T276" s="23">
        <v>14.4</v>
      </c>
      <c r="U276" s="14" t="s">
        <v>68</v>
      </c>
      <c r="V276" s="14">
        <v>8000036373</v>
      </c>
      <c r="W276" s="23">
        <v>9</v>
      </c>
      <c r="X276" s="23">
        <v>6.4</v>
      </c>
      <c r="Y276" s="23">
        <v>8.5</v>
      </c>
      <c r="Z276" s="23">
        <v>25.6</v>
      </c>
      <c r="AA276" s="23">
        <v>31</v>
      </c>
      <c r="AE276" s="28">
        <v>6</v>
      </c>
      <c r="AF276" s="29">
        <f ca="1"/>
        <v>11.5</v>
      </c>
      <c r="AG276" s="29" t="str">
        <f ca="1"/>
        <v>IsoTwin M-Condens 26-AS/1 M</v>
      </c>
      <c r="AH276" s="29">
        <f ca="1"/>
        <v>8000036364</v>
      </c>
      <c r="AI276" s="29">
        <f ca="1"/>
        <v>2</v>
      </c>
      <c r="AJ276" s="29">
        <f ca="1"/>
        <v>5.0999999999999996</v>
      </c>
      <c r="AK276" s="29">
        <f ca="1"/>
        <v>7.4</v>
      </c>
      <c r="AL276" s="29">
        <f ca="1"/>
        <v>18.5</v>
      </c>
      <c r="AM276" s="30">
        <f ca="1"/>
        <v>24.8</v>
      </c>
    </row>
    <row r="277" spans="7:40" x14ac:dyDescent="0.3">
      <c r="AE277" s="28">
        <v>7</v>
      </c>
      <c r="AF277" s="29">
        <f ca="1"/>
        <v>11.6</v>
      </c>
      <c r="AG277" s="29" t="str">
        <f ca="1"/>
        <v>IsoTwin M-Condens 26-AS/1 M</v>
      </c>
      <c r="AH277" s="29">
        <f ca="1"/>
        <v>8000036364</v>
      </c>
      <c r="AI277" s="29">
        <f ca="1"/>
        <v>9</v>
      </c>
      <c r="AJ277" s="29">
        <f ca="1"/>
        <v>5.0999999999999996</v>
      </c>
      <c r="AK277" s="29">
        <f ca="1"/>
        <v>7.4</v>
      </c>
      <c r="AL277" s="29">
        <f ca="1"/>
        <v>18.5</v>
      </c>
      <c r="AM277" s="30">
        <f ca="1"/>
        <v>24.9</v>
      </c>
    </row>
    <row r="278" spans="7:40" x14ac:dyDescent="0.3">
      <c r="H278" s="13" t="s">
        <v>41</v>
      </c>
      <c r="I278" s="13">
        <f>MIN(_xlfn.XMATCH(Valeur_debit_massique,Colonne_debit_massique,-1),9)</f>
        <v>9</v>
      </c>
      <c r="T278" s="13" t="s">
        <v>41</v>
      </c>
      <c r="U278" s="13">
        <f>MIN(_xlfn.XMATCH(Valeur_debit_massique,Colonne_debit_massique,-1),9)</f>
        <v>9</v>
      </c>
      <c r="AE278" s="28">
        <v>8</v>
      </c>
      <c r="AF278" s="29">
        <f ca="1"/>
        <v>11.7</v>
      </c>
      <c r="AG278" s="29" t="str">
        <f ca="1"/>
        <v>IsoTwin M-Condens 26-AS/1 M</v>
      </c>
      <c r="AH278" s="29">
        <f ca="1"/>
        <v>8000036364</v>
      </c>
      <c r="AI278" s="29">
        <f ca="1"/>
        <v>5</v>
      </c>
      <c r="AJ278" s="29">
        <f ca="1"/>
        <v>5.0999999999999996</v>
      </c>
      <c r="AK278" s="29">
        <f ca="1"/>
        <v>7.4</v>
      </c>
      <c r="AL278" s="29">
        <f ca="1"/>
        <v>18.5</v>
      </c>
      <c r="AM278" s="30">
        <f ca="1"/>
        <v>25.2</v>
      </c>
    </row>
    <row r="279" spans="7:40" ht="15" thickBot="1" x14ac:dyDescent="0.35">
      <c r="H279" s="13" t="s">
        <v>40</v>
      </c>
      <c r="I279" s="13" t="e">
        <f>IF(Valeur_debit_massique&lt;H268,NA(),_xlfn.XMATCH(Valeur_debit_massique,Colonne_debit_massique,-1))</f>
        <v>#N/A</v>
      </c>
      <c r="T279" s="13" t="s">
        <v>40</v>
      </c>
      <c r="U279" s="13" t="e">
        <f>IF(Valeur_debit_massique&lt;T268,NA(),_xlfn.XMATCH(Valeur_debit_massique,Colonne_debit_massique,-1))</f>
        <v>#N/A</v>
      </c>
      <c r="AE279" s="31">
        <v>9</v>
      </c>
      <c r="AF279" s="32">
        <f ca="1"/>
        <v>12.1</v>
      </c>
      <c r="AG279" s="32" t="str">
        <f ca="1"/>
        <v>IsoTwin M-Condens 26-AS/1 M</v>
      </c>
      <c r="AH279" s="32">
        <f ca="1"/>
        <v>8000036364</v>
      </c>
      <c r="AI279" s="32">
        <f ca="1"/>
        <v>3</v>
      </c>
      <c r="AJ279" s="32">
        <f ca="1"/>
        <v>5.0999999999999996</v>
      </c>
      <c r="AK279" s="32">
        <f ca="1"/>
        <v>7.4</v>
      </c>
      <c r="AL279" s="32">
        <f ca="1"/>
        <v>18.5</v>
      </c>
      <c r="AM279" s="33">
        <f ca="1"/>
        <v>26</v>
      </c>
    </row>
    <row r="280" spans="7:40" ht="15" thickBot="1" x14ac:dyDescent="0.35"/>
    <row r="281" spans="7:40" x14ac:dyDescent="0.3">
      <c r="G281" s="25">
        <v>1</v>
      </c>
      <c r="H281" s="26" cm="1">
        <f t="array" aca="1" ref="H281:O289" ca="1">OFFSET(H259:O259,0,0,I278)</f>
        <v>9.3000000000000007</v>
      </c>
      <c r="I281" s="26" t="str">
        <f ca="1"/>
        <v>ThemaFast M-Condens 26-AS/1 M</v>
      </c>
      <c r="J281" s="26">
        <f ca="1"/>
        <v>8000036371</v>
      </c>
      <c r="K281" s="26" t="str">
        <f ca="1"/>
        <v>1</v>
      </c>
      <c r="L281" s="26">
        <f ca="1"/>
        <v>5.0999999999999996</v>
      </c>
      <c r="M281" s="26">
        <f ca="1"/>
        <v>7.4</v>
      </c>
      <c r="N281" s="26">
        <f ca="1"/>
        <v>18.5</v>
      </c>
      <c r="O281" s="27">
        <f ca="1"/>
        <v>20</v>
      </c>
      <c r="S281" s="25">
        <v>1</v>
      </c>
      <c r="T281" s="26" cm="1">
        <f t="array" aca="1" ref="T281:AA289" ca="1">OFFSET(T259:AA259,0,0,U278)</f>
        <v>9.3000000000000007</v>
      </c>
      <c r="U281" s="26" t="str">
        <f ca="1"/>
        <v>ThemaPlus M-Condens 26-AS/1 M</v>
      </c>
      <c r="V281" s="26">
        <f ca="1"/>
        <v>8000036365</v>
      </c>
      <c r="W281" s="26">
        <f ca="1"/>
        <v>1</v>
      </c>
      <c r="X281" s="26">
        <f ca="1"/>
        <v>5.0999999999999996</v>
      </c>
      <c r="Y281" s="26">
        <f ca="1"/>
        <v>7.4</v>
      </c>
      <c r="Z281" s="26">
        <f ca="1"/>
        <v>18.5</v>
      </c>
      <c r="AA281" s="27">
        <f ca="1"/>
        <v>20</v>
      </c>
      <c r="AE281" s="25">
        <v>1</v>
      </c>
      <c r="AF281" s="26" cm="1">
        <f t="array" aca="1" ref="AF281:AM289" ca="1">_xlfn._xlws.SORT(AF271:AM279,8,1)</f>
        <v>9.3000000000000007</v>
      </c>
      <c r="AG281" s="26" t="str">
        <f ca="1"/>
        <v>IsoTwin M-Condens 26-AS/1 M</v>
      </c>
      <c r="AH281" s="26">
        <f ca="1"/>
        <v>8000036364</v>
      </c>
      <c r="AI281" s="26">
        <f ca="1"/>
        <v>1</v>
      </c>
      <c r="AJ281" s="26">
        <f ca="1"/>
        <v>5.0999999999999996</v>
      </c>
      <c r="AK281" s="26">
        <f ca="1"/>
        <v>7.4</v>
      </c>
      <c r="AL281" s="26">
        <f ca="1"/>
        <v>18.5</v>
      </c>
      <c r="AM281" s="26">
        <f ca="1"/>
        <v>20</v>
      </c>
      <c r="AN281" s="27" t="b">
        <f ca="1">IF(AND(AM281&lt;&gt;0,AM282=0),TRUE,FALSE)</f>
        <v>0</v>
      </c>
    </row>
    <row r="282" spans="7:40" x14ac:dyDescent="0.3">
      <c r="G282" s="28">
        <v>2</v>
      </c>
      <c r="H282" s="29">
        <f ca="1"/>
        <v>10.6</v>
      </c>
      <c r="I282" s="29" t="str">
        <f ca="1"/>
        <v>ThemaFast M-Condens 26-AS/1 M</v>
      </c>
      <c r="J282" s="29">
        <f ca="1"/>
        <v>8000036371</v>
      </c>
      <c r="K282" s="29" t="str">
        <f ca="1"/>
        <v>6</v>
      </c>
      <c r="L282" s="29">
        <f ca="1"/>
        <v>5.0999999999999996</v>
      </c>
      <c r="M282" s="29">
        <f ca="1"/>
        <v>7.4</v>
      </c>
      <c r="N282" s="29">
        <f ca="1"/>
        <v>18.5</v>
      </c>
      <c r="O282" s="30">
        <f ca="1"/>
        <v>22.9</v>
      </c>
      <c r="S282" s="28">
        <v>2</v>
      </c>
      <c r="T282" s="29">
        <f ca="1"/>
        <v>10.6</v>
      </c>
      <c r="U282" s="29" t="str">
        <f ca="1"/>
        <v>ThemaPlus M-Condens 26-AS/1 M</v>
      </c>
      <c r="V282" s="29">
        <f ca="1"/>
        <v>8000036365</v>
      </c>
      <c r="W282" s="29">
        <f ca="1"/>
        <v>6</v>
      </c>
      <c r="X282" s="29">
        <f ca="1"/>
        <v>5.0999999999999996</v>
      </c>
      <c r="Y282" s="29">
        <f ca="1"/>
        <v>7.4</v>
      </c>
      <c r="Z282" s="29">
        <f ca="1"/>
        <v>18.5</v>
      </c>
      <c r="AA282" s="30">
        <f ca="1"/>
        <v>22.9</v>
      </c>
      <c r="AE282" s="28">
        <v>2</v>
      </c>
      <c r="AF282" s="29">
        <f ca="1"/>
        <v>10.6</v>
      </c>
      <c r="AG282" s="29" t="str">
        <f ca="1"/>
        <v>IsoTwin M-Condens 26-AS/1 M</v>
      </c>
      <c r="AH282" s="29">
        <f ca="1"/>
        <v>8000036364</v>
      </c>
      <c r="AI282" s="29">
        <f ca="1"/>
        <v>6</v>
      </c>
      <c r="AJ282" s="29">
        <f ca="1"/>
        <v>5.0999999999999996</v>
      </c>
      <c r="AK282" s="29">
        <f ca="1"/>
        <v>7.4</v>
      </c>
      <c r="AL282" s="29">
        <f ca="1"/>
        <v>18.5</v>
      </c>
      <c r="AM282" s="29">
        <f ca="1"/>
        <v>22.9</v>
      </c>
      <c r="AN282" s="30" t="b">
        <f t="shared" ref="AN282:AN289" ca="1" si="0">IF(AND(AM282&lt;&gt;0,AM283=0),TRUE,FALSE)</f>
        <v>0</v>
      </c>
    </row>
    <row r="283" spans="7:40" x14ac:dyDescent="0.3">
      <c r="G283" s="28">
        <v>3</v>
      </c>
      <c r="H283" s="29">
        <f ca="1"/>
        <v>10.7</v>
      </c>
      <c r="I283" s="29" t="str">
        <f ca="1"/>
        <v>ThemaFast M-Condens 26-AS/1 M</v>
      </c>
      <c r="J283" s="29">
        <f ca="1"/>
        <v>8000036371</v>
      </c>
      <c r="K283" s="29" t="str">
        <f ca="1"/>
        <v>4</v>
      </c>
      <c r="L283" s="29">
        <f ca="1"/>
        <v>5.0999999999999996</v>
      </c>
      <c r="M283" s="29">
        <f ca="1"/>
        <v>7.4</v>
      </c>
      <c r="N283" s="29">
        <f ca="1"/>
        <v>18.5</v>
      </c>
      <c r="O283" s="30">
        <f ca="1"/>
        <v>23.1</v>
      </c>
      <c r="S283" s="28">
        <v>3</v>
      </c>
      <c r="T283" s="29">
        <f ca="1"/>
        <v>10.7</v>
      </c>
      <c r="U283" s="29" t="str">
        <f ca="1"/>
        <v>ThemaPlus M-Condens 26-AS/1 M</v>
      </c>
      <c r="V283" s="29">
        <f ca="1"/>
        <v>8000036365</v>
      </c>
      <c r="W283" s="29">
        <f ca="1"/>
        <v>4</v>
      </c>
      <c r="X283" s="29">
        <f ca="1"/>
        <v>5.0999999999999996</v>
      </c>
      <c r="Y283" s="29">
        <f ca="1"/>
        <v>7.4</v>
      </c>
      <c r="Z283" s="29">
        <f ca="1"/>
        <v>18.5</v>
      </c>
      <c r="AA283" s="30">
        <f ca="1"/>
        <v>23.1</v>
      </c>
      <c r="AE283" s="28">
        <v>3</v>
      </c>
      <c r="AF283" s="29">
        <f ca="1"/>
        <v>10.7</v>
      </c>
      <c r="AG283" s="29" t="str">
        <f ca="1"/>
        <v>IsoTwin M-Condens 26-AS/1 M</v>
      </c>
      <c r="AH283" s="29">
        <f ca="1"/>
        <v>8000036364</v>
      </c>
      <c r="AI283" s="29">
        <f ca="1"/>
        <v>4</v>
      </c>
      <c r="AJ283" s="29">
        <f ca="1"/>
        <v>5.0999999999999996</v>
      </c>
      <c r="AK283" s="29">
        <f ca="1"/>
        <v>7.4</v>
      </c>
      <c r="AL283" s="29">
        <f ca="1"/>
        <v>18.5</v>
      </c>
      <c r="AM283" s="29">
        <f ca="1"/>
        <v>23.1</v>
      </c>
      <c r="AN283" s="30" t="b">
        <f t="shared" ca="1" si="0"/>
        <v>0</v>
      </c>
    </row>
    <row r="284" spans="7:40" x14ac:dyDescent="0.3">
      <c r="G284" s="28">
        <v>4</v>
      </c>
      <c r="H284" s="29">
        <f ca="1"/>
        <v>10.8</v>
      </c>
      <c r="I284" s="29" t="str">
        <f ca="1"/>
        <v>ThemaFast M-Condens 26-AS/1 M</v>
      </c>
      <c r="J284" s="29">
        <f ca="1"/>
        <v>8000036371</v>
      </c>
      <c r="K284" s="29" t="str">
        <f ca="1"/>
        <v>7</v>
      </c>
      <c r="L284" s="29">
        <f ca="1"/>
        <v>5.0999999999999996</v>
      </c>
      <c r="M284" s="29">
        <f ca="1"/>
        <v>7.4</v>
      </c>
      <c r="N284" s="29">
        <f ca="1"/>
        <v>18.5</v>
      </c>
      <c r="O284" s="30">
        <f ca="1"/>
        <v>23.3</v>
      </c>
      <c r="S284" s="28">
        <v>4</v>
      </c>
      <c r="T284" s="29">
        <f ca="1"/>
        <v>10.8</v>
      </c>
      <c r="U284" s="29" t="str">
        <f ca="1"/>
        <v>ThemaPlus M-Condens 26-AS/1 M</v>
      </c>
      <c r="V284" s="29">
        <f ca="1"/>
        <v>8000036365</v>
      </c>
      <c r="W284" s="29">
        <f ca="1"/>
        <v>7</v>
      </c>
      <c r="X284" s="29">
        <f ca="1"/>
        <v>5.0999999999999996</v>
      </c>
      <c r="Y284" s="29">
        <f ca="1"/>
        <v>7.4</v>
      </c>
      <c r="Z284" s="29">
        <f ca="1"/>
        <v>18.5</v>
      </c>
      <c r="AA284" s="30">
        <f ca="1"/>
        <v>23.3</v>
      </c>
      <c r="AE284" s="28">
        <v>4</v>
      </c>
      <c r="AF284" s="29">
        <f ca="1"/>
        <v>10.8</v>
      </c>
      <c r="AG284" s="29" t="str">
        <f ca="1"/>
        <v>IsoTwin M-Condens 26-AS/1 M</v>
      </c>
      <c r="AH284" s="29">
        <f ca="1"/>
        <v>8000036364</v>
      </c>
      <c r="AI284" s="29">
        <f ca="1"/>
        <v>7</v>
      </c>
      <c r="AJ284" s="29">
        <f ca="1"/>
        <v>5.0999999999999996</v>
      </c>
      <c r="AK284" s="29">
        <f ca="1"/>
        <v>7.4</v>
      </c>
      <c r="AL284" s="29">
        <f ca="1"/>
        <v>18.5</v>
      </c>
      <c r="AM284" s="29">
        <f ca="1"/>
        <v>23.3</v>
      </c>
      <c r="AN284" s="30" t="b">
        <f t="shared" ca="1" si="0"/>
        <v>0</v>
      </c>
    </row>
    <row r="285" spans="7:40" x14ac:dyDescent="0.3">
      <c r="G285" s="28">
        <v>5</v>
      </c>
      <c r="H285" s="29">
        <f ca="1"/>
        <v>11.1</v>
      </c>
      <c r="I285" s="29" t="str">
        <f ca="1"/>
        <v>ThemaFast M-Condens 26-AS/1 M</v>
      </c>
      <c r="J285" s="29">
        <f ca="1"/>
        <v>8000036371</v>
      </c>
      <c r="K285" s="29" t="str">
        <f ca="1"/>
        <v>8</v>
      </c>
      <c r="L285" s="29">
        <f ca="1"/>
        <v>5.0999999999999996</v>
      </c>
      <c r="M285" s="29">
        <f ca="1"/>
        <v>7.4</v>
      </c>
      <c r="N285" s="29">
        <f ca="1"/>
        <v>18.5</v>
      </c>
      <c r="O285" s="30">
        <f ca="1"/>
        <v>23.9</v>
      </c>
      <c r="S285" s="28">
        <v>5</v>
      </c>
      <c r="T285" s="29">
        <f ca="1"/>
        <v>11.1</v>
      </c>
      <c r="U285" s="29" t="str">
        <f ca="1"/>
        <v>ThemaPlus M-Condens 26-AS/1 M</v>
      </c>
      <c r="V285" s="29">
        <f ca="1"/>
        <v>8000036365</v>
      </c>
      <c r="W285" s="29">
        <f ca="1"/>
        <v>8</v>
      </c>
      <c r="X285" s="29">
        <f ca="1"/>
        <v>5.0999999999999996</v>
      </c>
      <c r="Y285" s="29">
        <f ca="1"/>
        <v>7.4</v>
      </c>
      <c r="Z285" s="29">
        <f ca="1"/>
        <v>18.5</v>
      </c>
      <c r="AA285" s="30">
        <f ca="1"/>
        <v>23.9</v>
      </c>
      <c r="AE285" s="28">
        <v>5</v>
      </c>
      <c r="AF285" s="29">
        <f ca="1"/>
        <v>11.1</v>
      </c>
      <c r="AG285" s="29" t="str">
        <f ca="1"/>
        <v>IsoTwin M-Condens 26-AS/1 M</v>
      </c>
      <c r="AH285" s="29">
        <f ca="1"/>
        <v>8000036364</v>
      </c>
      <c r="AI285" s="29">
        <f ca="1"/>
        <v>8</v>
      </c>
      <c r="AJ285" s="29">
        <f ca="1"/>
        <v>5.0999999999999996</v>
      </c>
      <c r="AK285" s="29">
        <f ca="1"/>
        <v>7.4</v>
      </c>
      <c r="AL285" s="29">
        <f ca="1"/>
        <v>18.5</v>
      </c>
      <c r="AM285" s="29">
        <f ca="1"/>
        <v>23.9</v>
      </c>
      <c r="AN285" s="30" t="b">
        <f t="shared" ca="1" si="0"/>
        <v>0</v>
      </c>
    </row>
    <row r="286" spans="7:40" x14ac:dyDescent="0.3">
      <c r="G286" s="28">
        <v>6</v>
      </c>
      <c r="H286" s="29">
        <f ca="1"/>
        <v>11.5</v>
      </c>
      <c r="I286" s="29" t="str">
        <f ca="1"/>
        <v>ThemaFast M-Condens 26-AS/1 M</v>
      </c>
      <c r="J286" s="29">
        <f ca="1"/>
        <v>8000036371</v>
      </c>
      <c r="K286" s="29" t="str">
        <f ca="1"/>
        <v>2</v>
      </c>
      <c r="L286" s="29">
        <f ca="1"/>
        <v>5.0999999999999996</v>
      </c>
      <c r="M286" s="29">
        <f ca="1"/>
        <v>7.4</v>
      </c>
      <c r="N286" s="29">
        <f ca="1"/>
        <v>18.5</v>
      </c>
      <c r="O286" s="30">
        <f ca="1"/>
        <v>24.8</v>
      </c>
      <c r="S286" s="28">
        <v>6</v>
      </c>
      <c r="T286" s="29">
        <f ca="1"/>
        <v>11.5</v>
      </c>
      <c r="U286" s="29" t="str">
        <f ca="1"/>
        <v>ThemaPlus M-Condens 26-AS/1 M</v>
      </c>
      <c r="V286" s="29">
        <f ca="1"/>
        <v>8000036365</v>
      </c>
      <c r="W286" s="29">
        <f ca="1"/>
        <v>2</v>
      </c>
      <c r="X286" s="29">
        <f ca="1"/>
        <v>5.0999999999999996</v>
      </c>
      <c r="Y286" s="29">
        <f ca="1"/>
        <v>7.4</v>
      </c>
      <c r="Z286" s="29">
        <f ca="1"/>
        <v>18.5</v>
      </c>
      <c r="AA286" s="30">
        <f ca="1"/>
        <v>24.8</v>
      </c>
      <c r="AE286" s="28">
        <v>6</v>
      </c>
      <c r="AF286" s="29">
        <f ca="1"/>
        <v>11.5</v>
      </c>
      <c r="AG286" s="29" t="str">
        <f ca="1"/>
        <v>IsoTwin M-Condens 26-AS/1 M</v>
      </c>
      <c r="AH286" s="29">
        <f ca="1"/>
        <v>8000036364</v>
      </c>
      <c r="AI286" s="29">
        <f ca="1"/>
        <v>2</v>
      </c>
      <c r="AJ286" s="29">
        <f ca="1"/>
        <v>5.0999999999999996</v>
      </c>
      <c r="AK286" s="29">
        <f ca="1"/>
        <v>7.4</v>
      </c>
      <c r="AL286" s="29">
        <f ca="1"/>
        <v>18.5</v>
      </c>
      <c r="AM286" s="29">
        <f ca="1"/>
        <v>24.8</v>
      </c>
      <c r="AN286" s="30" t="b">
        <f t="shared" ca="1" si="0"/>
        <v>0</v>
      </c>
    </row>
    <row r="287" spans="7:40" x14ac:dyDescent="0.3">
      <c r="G287" s="28">
        <v>7</v>
      </c>
      <c r="H287" s="29">
        <f ca="1"/>
        <v>11.6</v>
      </c>
      <c r="I287" s="29" t="str">
        <f ca="1"/>
        <v>ThemaFast M-Condens 26-AS/1 M</v>
      </c>
      <c r="J287" s="29">
        <f ca="1"/>
        <v>8000036371</v>
      </c>
      <c r="K287" s="29" t="str">
        <f ca="1"/>
        <v>3</v>
      </c>
      <c r="L287" s="29">
        <f ca="1"/>
        <v>5.0999999999999996</v>
      </c>
      <c r="M287" s="29">
        <f ca="1"/>
        <v>7.4</v>
      </c>
      <c r="N287" s="29">
        <f ca="1"/>
        <v>18.5</v>
      </c>
      <c r="O287" s="30">
        <f ca="1"/>
        <v>26</v>
      </c>
      <c r="S287" s="28">
        <v>7</v>
      </c>
      <c r="T287" s="29">
        <f ca="1"/>
        <v>11.6</v>
      </c>
      <c r="U287" s="29" t="str">
        <f ca="1"/>
        <v>ThemaPlus M-Condens 26-AS/1 M</v>
      </c>
      <c r="V287" s="29">
        <f ca="1"/>
        <v>8000036365</v>
      </c>
      <c r="W287" s="29">
        <f ca="1"/>
        <v>9</v>
      </c>
      <c r="X287" s="29">
        <f ca="1"/>
        <v>5.0999999999999996</v>
      </c>
      <c r="Y287" s="29">
        <f ca="1"/>
        <v>7.4</v>
      </c>
      <c r="Z287" s="29">
        <f ca="1"/>
        <v>18.5</v>
      </c>
      <c r="AA287" s="30">
        <f ca="1"/>
        <v>24.9</v>
      </c>
      <c r="AE287" s="28">
        <v>7</v>
      </c>
      <c r="AF287" s="29">
        <f ca="1"/>
        <v>11.6</v>
      </c>
      <c r="AG287" s="29" t="str">
        <f ca="1"/>
        <v>IsoTwin M-Condens 26-AS/1 M</v>
      </c>
      <c r="AH287" s="29">
        <f ca="1"/>
        <v>8000036364</v>
      </c>
      <c r="AI287" s="29">
        <f ca="1"/>
        <v>9</v>
      </c>
      <c r="AJ287" s="29">
        <f ca="1"/>
        <v>5.0999999999999996</v>
      </c>
      <c r="AK287" s="29">
        <f ca="1"/>
        <v>7.4</v>
      </c>
      <c r="AL287" s="29">
        <f ca="1"/>
        <v>18.5</v>
      </c>
      <c r="AM287" s="29">
        <f ca="1"/>
        <v>24.9</v>
      </c>
      <c r="AN287" s="30" t="b">
        <f t="shared" ca="1" si="0"/>
        <v>0</v>
      </c>
    </row>
    <row r="288" spans="7:40" x14ac:dyDescent="0.3">
      <c r="G288" s="28">
        <v>8</v>
      </c>
      <c r="H288" s="29">
        <f ca="1"/>
        <v>11.6</v>
      </c>
      <c r="I288" s="29" t="str">
        <f ca="1"/>
        <v>ThemaFast M-Condens 26-AS/1 M</v>
      </c>
      <c r="J288" s="29">
        <f ca="1"/>
        <v>8000036371</v>
      </c>
      <c r="K288" s="29" t="str">
        <f ca="1"/>
        <v>9</v>
      </c>
      <c r="L288" s="29">
        <f ca="1"/>
        <v>5.0999999999999996</v>
      </c>
      <c r="M288" s="29">
        <f ca="1"/>
        <v>7.4</v>
      </c>
      <c r="N288" s="29">
        <f ca="1"/>
        <v>18.5</v>
      </c>
      <c r="O288" s="30">
        <f ca="1"/>
        <v>24.9</v>
      </c>
      <c r="S288" s="28">
        <v>8</v>
      </c>
      <c r="T288" s="29">
        <f ca="1"/>
        <v>11.7</v>
      </c>
      <c r="U288" s="29" t="str">
        <f ca="1"/>
        <v>ThemaPlus M-Condens 26-AS/1 M</v>
      </c>
      <c r="V288" s="29">
        <f ca="1"/>
        <v>8000036365</v>
      </c>
      <c r="W288" s="29">
        <f ca="1"/>
        <v>5</v>
      </c>
      <c r="X288" s="29">
        <f ca="1"/>
        <v>5.0999999999999996</v>
      </c>
      <c r="Y288" s="29">
        <f ca="1"/>
        <v>7.4</v>
      </c>
      <c r="Z288" s="29">
        <f ca="1"/>
        <v>18.5</v>
      </c>
      <c r="AA288" s="30">
        <f ca="1"/>
        <v>25.2</v>
      </c>
      <c r="AE288" s="28">
        <v>8</v>
      </c>
      <c r="AF288" s="29">
        <f ca="1"/>
        <v>11.7</v>
      </c>
      <c r="AG288" s="29" t="str">
        <f ca="1"/>
        <v>IsoTwin M-Condens 26-AS/1 M</v>
      </c>
      <c r="AH288" s="29">
        <f ca="1"/>
        <v>8000036364</v>
      </c>
      <c r="AI288" s="29">
        <f ca="1"/>
        <v>5</v>
      </c>
      <c r="AJ288" s="29">
        <f ca="1"/>
        <v>5.0999999999999996</v>
      </c>
      <c r="AK288" s="29">
        <f ca="1"/>
        <v>7.4</v>
      </c>
      <c r="AL288" s="29">
        <f ca="1"/>
        <v>18.5</v>
      </c>
      <c r="AM288" s="29">
        <f ca="1"/>
        <v>25.2</v>
      </c>
      <c r="AN288" s="30" t="b">
        <f t="shared" ca="1" si="0"/>
        <v>0</v>
      </c>
    </row>
    <row r="289" spans="7:40" ht="15" thickBot="1" x14ac:dyDescent="0.35">
      <c r="G289" s="31">
        <v>9</v>
      </c>
      <c r="H289" s="32">
        <f ca="1"/>
        <v>11.7</v>
      </c>
      <c r="I289" s="32" t="str">
        <f ca="1"/>
        <v>ThemaFast M-Condens 26-AS/1 M</v>
      </c>
      <c r="J289" s="32">
        <f ca="1"/>
        <v>8000036371</v>
      </c>
      <c r="K289" s="32" t="str">
        <f ca="1"/>
        <v>5</v>
      </c>
      <c r="L289" s="32">
        <f ca="1"/>
        <v>5.0999999999999996</v>
      </c>
      <c r="M289" s="32">
        <f ca="1"/>
        <v>7.4</v>
      </c>
      <c r="N289" s="32">
        <f ca="1"/>
        <v>18.5</v>
      </c>
      <c r="O289" s="33">
        <f ca="1"/>
        <v>25.2</v>
      </c>
      <c r="S289" s="31">
        <v>9</v>
      </c>
      <c r="T289" s="32">
        <f ca="1"/>
        <v>12.1</v>
      </c>
      <c r="U289" s="32" t="str">
        <f ca="1"/>
        <v>ThemaPlus M-Condens 26-AS/1 M</v>
      </c>
      <c r="V289" s="32">
        <f ca="1"/>
        <v>8000036365</v>
      </c>
      <c r="W289" s="32">
        <f ca="1"/>
        <v>3</v>
      </c>
      <c r="X289" s="32">
        <f ca="1"/>
        <v>5.0999999999999996</v>
      </c>
      <c r="Y289" s="32">
        <f ca="1"/>
        <v>7.4</v>
      </c>
      <c r="Z289" s="32">
        <f ca="1"/>
        <v>18.5</v>
      </c>
      <c r="AA289" s="33">
        <f ca="1"/>
        <v>26</v>
      </c>
      <c r="AE289" s="31">
        <v>9</v>
      </c>
      <c r="AF289" s="32">
        <f ca="1"/>
        <v>12.1</v>
      </c>
      <c r="AG289" s="32" t="str">
        <f ca="1"/>
        <v>IsoTwin M-Condens 26-AS/1 M</v>
      </c>
      <c r="AH289" s="32">
        <f ca="1"/>
        <v>8000036364</v>
      </c>
      <c r="AI289" s="32">
        <f ca="1"/>
        <v>3</v>
      </c>
      <c r="AJ289" s="32">
        <f ca="1"/>
        <v>5.0999999999999996</v>
      </c>
      <c r="AK289" s="32">
        <f ca="1"/>
        <v>7.4</v>
      </c>
      <c r="AL289" s="32">
        <f ca="1"/>
        <v>18.5</v>
      </c>
      <c r="AM289" s="32">
        <f ca="1"/>
        <v>26</v>
      </c>
      <c r="AN289" s="33" t="b">
        <f t="shared" ca="1" si="0"/>
        <v>1</v>
      </c>
    </row>
    <row r="290" spans="7:40" ht="15" thickBot="1" x14ac:dyDescent="0.35"/>
    <row r="291" spans="7:40" ht="15" thickBot="1" x14ac:dyDescent="0.35">
      <c r="G291" s="25">
        <v>1</v>
      </c>
      <c r="H291" s="26" cm="1">
        <f t="array" aca="1" ref="H291:O299" ca="1">_xlfn._xlws.SORT(H281:O289,8,1)</f>
        <v>9.3000000000000007</v>
      </c>
      <c r="I291" s="26" t="str">
        <f ca="1"/>
        <v>ThemaFast M-Condens 26-AS/1 M</v>
      </c>
      <c r="J291" s="26">
        <f ca="1"/>
        <v>8000036371</v>
      </c>
      <c r="K291" s="26" t="str">
        <f ca="1"/>
        <v>1</v>
      </c>
      <c r="L291" s="26">
        <f ca="1"/>
        <v>5.0999999999999996</v>
      </c>
      <c r="M291" s="26">
        <f ca="1"/>
        <v>7.4</v>
      </c>
      <c r="N291" s="26">
        <f ca="1"/>
        <v>18.5</v>
      </c>
      <c r="O291" s="26">
        <f ca="1"/>
        <v>20</v>
      </c>
      <c r="P291" s="27" t="b">
        <f ca="1">IF(AND(O291&lt;&gt;0,O292=0),TRUE,FALSE)</f>
        <v>0</v>
      </c>
      <c r="S291" s="25">
        <v>1</v>
      </c>
      <c r="T291" s="26" cm="1">
        <f t="array" aca="1" ref="T291:AA299" ca="1">_xlfn._xlws.SORT(T281:AA289,8,1)</f>
        <v>9.3000000000000007</v>
      </c>
      <c r="U291" s="26" t="str">
        <f ca="1"/>
        <v>ThemaPlus M-Condens 26-AS/1 M</v>
      </c>
      <c r="V291" s="26">
        <f ca="1"/>
        <v>8000036365</v>
      </c>
      <c r="W291" s="26">
        <f ca="1"/>
        <v>1</v>
      </c>
      <c r="X291" s="26">
        <f ca="1"/>
        <v>5.0999999999999996</v>
      </c>
      <c r="Y291" s="26">
        <f ca="1"/>
        <v>7.4</v>
      </c>
      <c r="Z291" s="26">
        <f ca="1"/>
        <v>18.5</v>
      </c>
      <c r="AA291" s="26">
        <f ca="1"/>
        <v>20</v>
      </c>
      <c r="AB291" s="27" t="b">
        <f ca="1">IF(AND(AA291&lt;&gt;0,AA292=0),TRUE,FALSE)</f>
        <v>0</v>
      </c>
      <c r="AF291" s="34" t="s">
        <v>38</v>
      </c>
      <c r="AG291" s="35">
        <f ca="1">MATCH(TRUE,AN281:AN289,0)</f>
        <v>9</v>
      </c>
    </row>
    <row r="292" spans="7:40" x14ac:dyDescent="0.3">
      <c r="G292" s="28">
        <v>2</v>
      </c>
      <c r="H292" s="29">
        <f ca="1"/>
        <v>10.6</v>
      </c>
      <c r="I292" s="29" t="str">
        <f ca="1"/>
        <v>ThemaFast M-Condens 26-AS/1 M</v>
      </c>
      <c r="J292" s="29">
        <f ca="1"/>
        <v>8000036371</v>
      </c>
      <c r="K292" s="29" t="str">
        <f ca="1"/>
        <v>6</v>
      </c>
      <c r="L292" s="29">
        <f ca="1"/>
        <v>5.0999999999999996</v>
      </c>
      <c r="M292" s="29">
        <f ca="1"/>
        <v>7.4</v>
      </c>
      <c r="N292" s="29">
        <f ca="1"/>
        <v>18.5</v>
      </c>
      <c r="O292" s="29">
        <f ca="1"/>
        <v>22.9</v>
      </c>
      <c r="P292" s="30" t="b">
        <f t="shared" ref="P292:P299" ca="1" si="1">IF(AND(O292&lt;&gt;0,O293=0),TRUE,FALSE)</f>
        <v>0</v>
      </c>
      <c r="S292" s="28">
        <v>2</v>
      </c>
      <c r="T292" s="29">
        <f ca="1"/>
        <v>10.6</v>
      </c>
      <c r="U292" s="29" t="str">
        <f ca="1"/>
        <v>ThemaPlus M-Condens 26-AS/1 M</v>
      </c>
      <c r="V292" s="29">
        <f ca="1"/>
        <v>8000036365</v>
      </c>
      <c r="W292" s="29">
        <f ca="1"/>
        <v>6</v>
      </c>
      <c r="X292" s="29">
        <f ca="1"/>
        <v>5.0999999999999996</v>
      </c>
      <c r="Y292" s="29">
        <f ca="1"/>
        <v>7.4</v>
      </c>
      <c r="Z292" s="29">
        <f ca="1"/>
        <v>18.5</v>
      </c>
      <c r="AA292" s="29">
        <f ca="1"/>
        <v>22.9</v>
      </c>
      <c r="AB292" s="30" t="b">
        <f t="shared" ref="AB292:AB299" ca="1" si="2">IF(AND(AA292&lt;&gt;0,AA293=0),TRUE,FALSE)</f>
        <v>0</v>
      </c>
    </row>
    <row r="293" spans="7:40" x14ac:dyDescent="0.3">
      <c r="G293" s="28">
        <v>3</v>
      </c>
      <c r="H293" s="29">
        <f ca="1"/>
        <v>10.7</v>
      </c>
      <c r="I293" s="29" t="str">
        <f ca="1"/>
        <v>ThemaFast M-Condens 26-AS/1 M</v>
      </c>
      <c r="J293" s="29">
        <f ca="1"/>
        <v>8000036371</v>
      </c>
      <c r="K293" s="29" t="str">
        <f ca="1"/>
        <v>4</v>
      </c>
      <c r="L293" s="29">
        <f ca="1"/>
        <v>5.0999999999999996</v>
      </c>
      <c r="M293" s="29">
        <f ca="1"/>
        <v>7.4</v>
      </c>
      <c r="N293" s="29">
        <f ca="1"/>
        <v>18.5</v>
      </c>
      <c r="O293" s="29">
        <f ca="1"/>
        <v>23.1</v>
      </c>
      <c r="P293" s="30" t="b">
        <f t="shared" ca="1" si="1"/>
        <v>0</v>
      </c>
      <c r="S293" s="28">
        <v>3</v>
      </c>
      <c r="T293" s="29">
        <f ca="1"/>
        <v>10.7</v>
      </c>
      <c r="U293" s="29" t="str">
        <f ca="1"/>
        <v>ThemaPlus M-Condens 26-AS/1 M</v>
      </c>
      <c r="V293" s="29">
        <f ca="1"/>
        <v>8000036365</v>
      </c>
      <c r="W293" s="29">
        <f ca="1"/>
        <v>4</v>
      </c>
      <c r="X293" s="29">
        <f ca="1"/>
        <v>5.0999999999999996</v>
      </c>
      <c r="Y293" s="29">
        <f ca="1"/>
        <v>7.4</v>
      </c>
      <c r="Z293" s="29">
        <f ca="1"/>
        <v>18.5</v>
      </c>
      <c r="AA293" s="29">
        <f ca="1"/>
        <v>23.1</v>
      </c>
      <c r="AB293" s="30" t="b">
        <f t="shared" ca="1" si="2"/>
        <v>0</v>
      </c>
    </row>
    <row r="294" spans="7:40" x14ac:dyDescent="0.3">
      <c r="G294" s="28">
        <v>4</v>
      </c>
      <c r="H294" s="29">
        <f ca="1"/>
        <v>10.8</v>
      </c>
      <c r="I294" s="29" t="str">
        <f ca="1"/>
        <v>ThemaFast M-Condens 26-AS/1 M</v>
      </c>
      <c r="J294" s="29">
        <f ca="1"/>
        <v>8000036371</v>
      </c>
      <c r="K294" s="29" t="str">
        <f ca="1"/>
        <v>7</v>
      </c>
      <c r="L294" s="29">
        <f ca="1"/>
        <v>5.0999999999999996</v>
      </c>
      <c r="M294" s="29">
        <f ca="1"/>
        <v>7.4</v>
      </c>
      <c r="N294" s="29">
        <f ca="1"/>
        <v>18.5</v>
      </c>
      <c r="O294" s="29">
        <f ca="1"/>
        <v>23.3</v>
      </c>
      <c r="P294" s="30" t="b">
        <f t="shared" ca="1" si="1"/>
        <v>0</v>
      </c>
      <c r="S294" s="28">
        <v>4</v>
      </c>
      <c r="T294" s="29">
        <f ca="1"/>
        <v>10.8</v>
      </c>
      <c r="U294" s="29" t="str">
        <f ca="1"/>
        <v>ThemaPlus M-Condens 26-AS/1 M</v>
      </c>
      <c r="V294" s="29">
        <f ca="1"/>
        <v>8000036365</v>
      </c>
      <c r="W294" s="29">
        <f ca="1"/>
        <v>7</v>
      </c>
      <c r="X294" s="29">
        <f ca="1"/>
        <v>5.0999999999999996</v>
      </c>
      <c r="Y294" s="29">
        <f ca="1"/>
        <v>7.4</v>
      </c>
      <c r="Z294" s="29">
        <f ca="1"/>
        <v>18.5</v>
      </c>
      <c r="AA294" s="29">
        <f ca="1"/>
        <v>23.3</v>
      </c>
      <c r="AB294" s="30" t="b">
        <f t="shared" ca="1" si="2"/>
        <v>0</v>
      </c>
    </row>
    <row r="295" spans="7:40" x14ac:dyDescent="0.3">
      <c r="G295" s="28">
        <v>5</v>
      </c>
      <c r="H295" s="29">
        <f ca="1"/>
        <v>11.1</v>
      </c>
      <c r="I295" s="29" t="str">
        <f ca="1"/>
        <v>ThemaFast M-Condens 26-AS/1 M</v>
      </c>
      <c r="J295" s="29">
        <f ca="1"/>
        <v>8000036371</v>
      </c>
      <c r="K295" s="29" t="str">
        <f ca="1"/>
        <v>8</v>
      </c>
      <c r="L295" s="29">
        <f ca="1"/>
        <v>5.0999999999999996</v>
      </c>
      <c r="M295" s="29">
        <f ca="1"/>
        <v>7.4</v>
      </c>
      <c r="N295" s="29">
        <f ca="1"/>
        <v>18.5</v>
      </c>
      <c r="O295" s="29">
        <f ca="1"/>
        <v>23.9</v>
      </c>
      <c r="P295" s="30" t="b">
        <f t="shared" ca="1" si="1"/>
        <v>0</v>
      </c>
      <c r="S295" s="28">
        <v>5</v>
      </c>
      <c r="T295" s="29">
        <f ca="1"/>
        <v>11.1</v>
      </c>
      <c r="U295" s="29" t="str">
        <f ca="1"/>
        <v>ThemaPlus M-Condens 26-AS/1 M</v>
      </c>
      <c r="V295" s="29">
        <f ca="1"/>
        <v>8000036365</v>
      </c>
      <c r="W295" s="29">
        <f ca="1"/>
        <v>8</v>
      </c>
      <c r="X295" s="29">
        <f ca="1"/>
        <v>5.0999999999999996</v>
      </c>
      <c r="Y295" s="29">
        <f ca="1"/>
        <v>7.4</v>
      </c>
      <c r="Z295" s="29">
        <f ca="1"/>
        <v>18.5</v>
      </c>
      <c r="AA295" s="29">
        <f ca="1"/>
        <v>23.9</v>
      </c>
      <c r="AB295" s="30" t="b">
        <f t="shared" ca="1" si="2"/>
        <v>0</v>
      </c>
    </row>
    <row r="296" spans="7:40" x14ac:dyDescent="0.3">
      <c r="G296" s="28">
        <v>6</v>
      </c>
      <c r="H296" s="29">
        <f ca="1"/>
        <v>11.5</v>
      </c>
      <c r="I296" s="29" t="str">
        <f ca="1"/>
        <v>ThemaFast M-Condens 26-AS/1 M</v>
      </c>
      <c r="J296" s="29">
        <f ca="1"/>
        <v>8000036371</v>
      </c>
      <c r="K296" s="29" t="str">
        <f ca="1"/>
        <v>2</v>
      </c>
      <c r="L296" s="29">
        <f ca="1"/>
        <v>5.0999999999999996</v>
      </c>
      <c r="M296" s="29">
        <f ca="1"/>
        <v>7.4</v>
      </c>
      <c r="N296" s="29">
        <f ca="1"/>
        <v>18.5</v>
      </c>
      <c r="O296" s="29">
        <f ca="1"/>
        <v>24.8</v>
      </c>
      <c r="P296" s="30" t="b">
        <f t="shared" ca="1" si="1"/>
        <v>0</v>
      </c>
      <c r="S296" s="28">
        <v>6</v>
      </c>
      <c r="T296" s="29">
        <f ca="1"/>
        <v>11.5</v>
      </c>
      <c r="U296" s="29" t="str">
        <f ca="1"/>
        <v>ThemaPlus M-Condens 26-AS/1 M</v>
      </c>
      <c r="V296" s="29">
        <f ca="1"/>
        <v>8000036365</v>
      </c>
      <c r="W296" s="29">
        <f ca="1"/>
        <v>2</v>
      </c>
      <c r="X296" s="29">
        <f ca="1"/>
        <v>5.0999999999999996</v>
      </c>
      <c r="Y296" s="29">
        <f ca="1"/>
        <v>7.4</v>
      </c>
      <c r="Z296" s="29">
        <f ca="1"/>
        <v>18.5</v>
      </c>
      <c r="AA296" s="29">
        <f ca="1"/>
        <v>24.8</v>
      </c>
      <c r="AB296" s="30" t="b">
        <f t="shared" ca="1" si="2"/>
        <v>0</v>
      </c>
    </row>
    <row r="297" spans="7:40" x14ac:dyDescent="0.3">
      <c r="G297" s="28">
        <v>7</v>
      </c>
      <c r="H297" s="29">
        <f ca="1"/>
        <v>11.6</v>
      </c>
      <c r="I297" s="29" t="str">
        <f ca="1"/>
        <v>ThemaFast M-Condens 26-AS/1 M</v>
      </c>
      <c r="J297" s="29">
        <f ca="1"/>
        <v>8000036371</v>
      </c>
      <c r="K297" s="29" t="str">
        <f ca="1"/>
        <v>9</v>
      </c>
      <c r="L297" s="29">
        <f ca="1"/>
        <v>5.0999999999999996</v>
      </c>
      <c r="M297" s="29">
        <f ca="1"/>
        <v>7.4</v>
      </c>
      <c r="N297" s="29">
        <f ca="1"/>
        <v>18.5</v>
      </c>
      <c r="O297" s="29">
        <f ca="1"/>
        <v>24.9</v>
      </c>
      <c r="P297" s="30" t="b">
        <f t="shared" ca="1" si="1"/>
        <v>0</v>
      </c>
      <c r="S297" s="28">
        <v>7</v>
      </c>
      <c r="T297" s="29">
        <f ca="1"/>
        <v>11.6</v>
      </c>
      <c r="U297" s="29" t="str">
        <f ca="1"/>
        <v>ThemaPlus M-Condens 26-AS/1 M</v>
      </c>
      <c r="V297" s="29">
        <f ca="1"/>
        <v>8000036365</v>
      </c>
      <c r="W297" s="29">
        <f ca="1"/>
        <v>9</v>
      </c>
      <c r="X297" s="29">
        <f ca="1"/>
        <v>5.0999999999999996</v>
      </c>
      <c r="Y297" s="29">
        <f ca="1"/>
        <v>7.4</v>
      </c>
      <c r="Z297" s="29">
        <f ca="1"/>
        <v>18.5</v>
      </c>
      <c r="AA297" s="29">
        <f ca="1"/>
        <v>24.9</v>
      </c>
      <c r="AB297" s="30" t="b">
        <f t="shared" ca="1" si="2"/>
        <v>0</v>
      </c>
    </row>
    <row r="298" spans="7:40" x14ac:dyDescent="0.3">
      <c r="G298" s="28">
        <v>8</v>
      </c>
      <c r="H298" s="29">
        <f ca="1"/>
        <v>11.7</v>
      </c>
      <c r="I298" s="29" t="str">
        <f ca="1"/>
        <v>ThemaFast M-Condens 26-AS/1 M</v>
      </c>
      <c r="J298" s="29">
        <f ca="1"/>
        <v>8000036371</v>
      </c>
      <c r="K298" s="29" t="str">
        <f ca="1"/>
        <v>5</v>
      </c>
      <c r="L298" s="29">
        <f ca="1"/>
        <v>5.0999999999999996</v>
      </c>
      <c r="M298" s="29">
        <f ca="1"/>
        <v>7.4</v>
      </c>
      <c r="N298" s="29">
        <f ca="1"/>
        <v>18.5</v>
      </c>
      <c r="O298" s="29">
        <f ca="1"/>
        <v>25.2</v>
      </c>
      <c r="P298" s="30" t="b">
        <f t="shared" ca="1" si="1"/>
        <v>0</v>
      </c>
      <c r="S298" s="28">
        <v>8</v>
      </c>
      <c r="T298" s="29">
        <f ca="1"/>
        <v>11.7</v>
      </c>
      <c r="U298" s="29" t="str">
        <f ca="1"/>
        <v>ThemaPlus M-Condens 26-AS/1 M</v>
      </c>
      <c r="V298" s="29">
        <f ca="1"/>
        <v>8000036365</v>
      </c>
      <c r="W298" s="29">
        <f ca="1"/>
        <v>5</v>
      </c>
      <c r="X298" s="29">
        <f ca="1"/>
        <v>5.0999999999999996</v>
      </c>
      <c r="Y298" s="29">
        <f ca="1"/>
        <v>7.4</v>
      </c>
      <c r="Z298" s="29">
        <f ca="1"/>
        <v>18.5</v>
      </c>
      <c r="AA298" s="29">
        <f ca="1"/>
        <v>25.2</v>
      </c>
      <c r="AB298" s="30" t="b">
        <f t="shared" ca="1" si="2"/>
        <v>0</v>
      </c>
    </row>
    <row r="299" spans="7:40" ht="15" thickBot="1" x14ac:dyDescent="0.35">
      <c r="G299" s="31">
        <v>9</v>
      </c>
      <c r="H299" s="32">
        <f ca="1"/>
        <v>11.6</v>
      </c>
      <c r="I299" s="32" t="str">
        <f ca="1"/>
        <v>ThemaFast M-Condens 26-AS/1 M</v>
      </c>
      <c r="J299" s="32">
        <f ca="1"/>
        <v>8000036371</v>
      </c>
      <c r="K299" s="32" t="str">
        <f ca="1"/>
        <v>3</v>
      </c>
      <c r="L299" s="32">
        <f ca="1"/>
        <v>5.0999999999999996</v>
      </c>
      <c r="M299" s="32">
        <f ca="1"/>
        <v>7.4</v>
      </c>
      <c r="N299" s="32">
        <f ca="1"/>
        <v>18.5</v>
      </c>
      <c r="O299" s="32">
        <f ca="1"/>
        <v>26</v>
      </c>
      <c r="P299" s="33" t="b">
        <f t="shared" ca="1" si="1"/>
        <v>1</v>
      </c>
      <c r="S299" s="31">
        <v>9</v>
      </c>
      <c r="T299" s="32">
        <f ca="1"/>
        <v>12.1</v>
      </c>
      <c r="U299" s="32" t="str">
        <f ca="1"/>
        <v>ThemaPlus M-Condens 26-AS/1 M</v>
      </c>
      <c r="V299" s="32">
        <f ca="1"/>
        <v>8000036365</v>
      </c>
      <c r="W299" s="32">
        <f ca="1"/>
        <v>3</v>
      </c>
      <c r="X299" s="32">
        <f ca="1"/>
        <v>5.0999999999999996</v>
      </c>
      <c r="Y299" s="32">
        <f ca="1"/>
        <v>7.4</v>
      </c>
      <c r="Z299" s="32">
        <f ca="1"/>
        <v>18.5</v>
      </c>
      <c r="AA299" s="32">
        <f ca="1"/>
        <v>26</v>
      </c>
      <c r="AB299" s="33" t="b">
        <f t="shared" ca="1" si="2"/>
        <v>1</v>
      </c>
    </row>
    <row r="301" spans="7:40" x14ac:dyDescent="0.3">
      <c r="G301" s="13">
        <v>1</v>
      </c>
      <c r="H301" s="13" t="e" cm="1">
        <f t="array" aca="1" ref="H301" ca="1">OFFSET(H268:O268,0,0,I279-9)</f>
        <v>#N/A</v>
      </c>
      <c r="S301" s="13">
        <v>1</v>
      </c>
      <c r="T301" s="13" t="e" cm="1">
        <f t="array" aca="1" ref="T301" ca="1">OFFSET(T268:AA268,0,0,U279-9)</f>
        <v>#N/A</v>
      </c>
    </row>
    <row r="302" spans="7:40" x14ac:dyDescent="0.3">
      <c r="G302" s="13">
        <v>2</v>
      </c>
      <c r="S302" s="13">
        <v>2</v>
      </c>
    </row>
    <row r="303" spans="7:40" x14ac:dyDescent="0.3">
      <c r="G303" s="13">
        <v>3</v>
      </c>
      <c r="S303" s="13">
        <v>3</v>
      </c>
    </row>
    <row r="304" spans="7:40" x14ac:dyDescent="0.3">
      <c r="G304" s="13">
        <v>4</v>
      </c>
      <c r="S304" s="13">
        <v>4</v>
      </c>
    </row>
    <row r="305" spans="7:28" x14ac:dyDescent="0.3">
      <c r="G305" s="13">
        <v>5</v>
      </c>
      <c r="S305" s="13">
        <v>5</v>
      </c>
    </row>
    <row r="306" spans="7:28" x14ac:dyDescent="0.3">
      <c r="G306" s="13">
        <v>6</v>
      </c>
      <c r="S306" s="13">
        <v>6</v>
      </c>
    </row>
    <row r="307" spans="7:28" x14ac:dyDescent="0.3">
      <c r="G307" s="13">
        <v>7</v>
      </c>
      <c r="S307" s="13">
        <v>7</v>
      </c>
    </row>
    <row r="308" spans="7:28" x14ac:dyDescent="0.3">
      <c r="G308" s="13">
        <v>8</v>
      </c>
      <c r="S308" s="13">
        <v>8</v>
      </c>
    </row>
    <row r="309" spans="7:28" x14ac:dyDescent="0.3">
      <c r="G309" s="13">
        <v>9</v>
      </c>
      <c r="S309" s="13">
        <v>9</v>
      </c>
    </row>
    <row r="310" spans="7:28" ht="15" thickBot="1" x14ac:dyDescent="0.35"/>
    <row r="311" spans="7:28" x14ac:dyDescent="0.3">
      <c r="G311" s="13">
        <v>1</v>
      </c>
      <c r="H311" s="26" t="e" cm="1">
        <f t="array" aca="1" ref="H311:O319" ca="1">_xlfn._xlws.SORT(H301:O309,8,1)</f>
        <v>#N/A</v>
      </c>
      <c r="I311" s="13">
        <f ca="1"/>
        <v>0</v>
      </c>
      <c r="J311" s="13">
        <f ca="1"/>
        <v>0</v>
      </c>
      <c r="K311" s="13">
        <f ca="1"/>
        <v>0</v>
      </c>
      <c r="L311" s="13">
        <f ca="1"/>
        <v>0</v>
      </c>
      <c r="M311" s="13">
        <f ca="1"/>
        <v>0</v>
      </c>
      <c r="N311" s="13">
        <f ca="1"/>
        <v>0</v>
      </c>
      <c r="O311" s="13">
        <f ca="1"/>
        <v>0</v>
      </c>
      <c r="P311" s="27" t="b">
        <f ca="1">IF(AND(O311&lt;&gt;0,O312=0),TRUE,FALSE)</f>
        <v>0</v>
      </c>
      <c r="S311" s="13">
        <v>1</v>
      </c>
      <c r="T311" s="26" t="e" cm="1">
        <f t="array" aca="1" ref="T311:AA319" ca="1">_xlfn._xlws.SORT(T301:AA309,8,1)</f>
        <v>#N/A</v>
      </c>
      <c r="U311" s="13">
        <f ca="1"/>
        <v>0</v>
      </c>
      <c r="V311" s="13">
        <f ca="1"/>
        <v>0</v>
      </c>
      <c r="W311" s="13">
        <f ca="1"/>
        <v>0</v>
      </c>
      <c r="X311" s="13">
        <f ca="1"/>
        <v>0</v>
      </c>
      <c r="Y311" s="13">
        <f ca="1"/>
        <v>0</v>
      </c>
      <c r="Z311" s="13">
        <f ca="1"/>
        <v>0</v>
      </c>
      <c r="AA311" s="13">
        <f ca="1"/>
        <v>0</v>
      </c>
      <c r="AB311" s="27" t="b">
        <f ca="1">IF(AND(AA311&lt;&gt;0,AA312=0),TRUE,FALSE)</f>
        <v>0</v>
      </c>
    </row>
    <row r="312" spans="7:28" x14ac:dyDescent="0.3">
      <c r="G312" s="13">
        <v>2</v>
      </c>
      <c r="H312" s="13">
        <f ca="1"/>
        <v>0</v>
      </c>
      <c r="I312" s="13">
        <f ca="1"/>
        <v>0</v>
      </c>
      <c r="J312" s="13">
        <f ca="1"/>
        <v>0</v>
      </c>
      <c r="K312" s="13">
        <f ca="1"/>
        <v>0</v>
      </c>
      <c r="L312" s="13">
        <f ca="1"/>
        <v>0</v>
      </c>
      <c r="M312" s="13">
        <f ca="1"/>
        <v>0</v>
      </c>
      <c r="N312" s="13">
        <f ca="1"/>
        <v>0</v>
      </c>
      <c r="O312" s="13">
        <f ca="1"/>
        <v>0</v>
      </c>
      <c r="P312" s="13" t="b">
        <f t="shared" ref="P312:P319" ca="1" si="3">IF(AND(O312&lt;&gt;0,O313=0),TRUE,FALSE)</f>
        <v>0</v>
      </c>
      <c r="S312" s="13">
        <v>2</v>
      </c>
      <c r="T312" s="13">
        <f ca="1"/>
        <v>0</v>
      </c>
      <c r="U312" s="13">
        <f ca="1"/>
        <v>0</v>
      </c>
      <c r="V312" s="13">
        <f ca="1"/>
        <v>0</v>
      </c>
      <c r="W312" s="13">
        <f ca="1"/>
        <v>0</v>
      </c>
      <c r="X312" s="13">
        <f ca="1"/>
        <v>0</v>
      </c>
      <c r="Y312" s="13">
        <f ca="1"/>
        <v>0</v>
      </c>
      <c r="Z312" s="13">
        <f ca="1"/>
        <v>0</v>
      </c>
      <c r="AA312" s="13">
        <f ca="1"/>
        <v>0</v>
      </c>
      <c r="AB312" s="13" t="b">
        <f t="shared" ref="AB312:AB319" ca="1" si="4">IF(AND(AA312&lt;&gt;0,AA313=0),TRUE,FALSE)</f>
        <v>0</v>
      </c>
    </row>
    <row r="313" spans="7:28" x14ac:dyDescent="0.3">
      <c r="G313" s="13">
        <v>3</v>
      </c>
      <c r="H313" s="13">
        <f ca="1"/>
        <v>0</v>
      </c>
      <c r="I313" s="13">
        <f ca="1"/>
        <v>0</v>
      </c>
      <c r="J313" s="13">
        <f ca="1"/>
        <v>0</v>
      </c>
      <c r="K313" s="13">
        <f ca="1"/>
        <v>0</v>
      </c>
      <c r="L313" s="13">
        <f ca="1"/>
        <v>0</v>
      </c>
      <c r="M313" s="13">
        <f ca="1"/>
        <v>0</v>
      </c>
      <c r="N313" s="13">
        <f ca="1"/>
        <v>0</v>
      </c>
      <c r="O313" s="13">
        <f ca="1"/>
        <v>0</v>
      </c>
      <c r="P313" s="13" t="b">
        <f t="shared" ca="1" si="3"/>
        <v>0</v>
      </c>
      <c r="S313" s="13">
        <v>3</v>
      </c>
      <c r="T313" s="13">
        <f ca="1"/>
        <v>0</v>
      </c>
      <c r="U313" s="13">
        <f ca="1"/>
        <v>0</v>
      </c>
      <c r="V313" s="13">
        <f ca="1"/>
        <v>0</v>
      </c>
      <c r="W313" s="13">
        <f ca="1"/>
        <v>0</v>
      </c>
      <c r="X313" s="13">
        <f ca="1"/>
        <v>0</v>
      </c>
      <c r="Y313" s="13">
        <f ca="1"/>
        <v>0</v>
      </c>
      <c r="Z313" s="13">
        <f ca="1"/>
        <v>0</v>
      </c>
      <c r="AA313" s="13">
        <f ca="1"/>
        <v>0</v>
      </c>
      <c r="AB313" s="13" t="b">
        <f t="shared" ca="1" si="4"/>
        <v>0</v>
      </c>
    </row>
    <row r="314" spans="7:28" x14ac:dyDescent="0.3">
      <c r="G314" s="13">
        <v>4</v>
      </c>
      <c r="H314" s="13">
        <f ca="1"/>
        <v>0</v>
      </c>
      <c r="I314" s="13">
        <f ca="1"/>
        <v>0</v>
      </c>
      <c r="J314" s="13">
        <f ca="1"/>
        <v>0</v>
      </c>
      <c r="K314" s="13">
        <f ca="1"/>
        <v>0</v>
      </c>
      <c r="L314" s="13">
        <f ca="1"/>
        <v>0</v>
      </c>
      <c r="M314" s="13">
        <f ca="1"/>
        <v>0</v>
      </c>
      <c r="N314" s="13">
        <f ca="1"/>
        <v>0</v>
      </c>
      <c r="O314" s="13">
        <f ca="1"/>
        <v>0</v>
      </c>
      <c r="P314" s="13" t="b">
        <f t="shared" ca="1" si="3"/>
        <v>0</v>
      </c>
      <c r="S314" s="13">
        <v>4</v>
      </c>
      <c r="T314" s="13">
        <f ca="1"/>
        <v>0</v>
      </c>
      <c r="U314" s="13">
        <f ca="1"/>
        <v>0</v>
      </c>
      <c r="V314" s="13">
        <f ca="1"/>
        <v>0</v>
      </c>
      <c r="W314" s="13">
        <f ca="1"/>
        <v>0</v>
      </c>
      <c r="X314" s="13">
        <f ca="1"/>
        <v>0</v>
      </c>
      <c r="Y314" s="13">
        <f ca="1"/>
        <v>0</v>
      </c>
      <c r="Z314" s="13">
        <f ca="1"/>
        <v>0</v>
      </c>
      <c r="AA314" s="13">
        <f ca="1"/>
        <v>0</v>
      </c>
      <c r="AB314" s="13" t="b">
        <f t="shared" ca="1" si="4"/>
        <v>0</v>
      </c>
    </row>
    <row r="315" spans="7:28" x14ac:dyDescent="0.3">
      <c r="G315" s="13">
        <v>5</v>
      </c>
      <c r="H315" s="13">
        <f ca="1"/>
        <v>0</v>
      </c>
      <c r="I315" s="13">
        <f ca="1"/>
        <v>0</v>
      </c>
      <c r="J315" s="13">
        <f ca="1"/>
        <v>0</v>
      </c>
      <c r="K315" s="13">
        <f ca="1"/>
        <v>0</v>
      </c>
      <c r="L315" s="13">
        <f ca="1"/>
        <v>0</v>
      </c>
      <c r="M315" s="13">
        <f ca="1"/>
        <v>0</v>
      </c>
      <c r="N315" s="13">
        <f ca="1"/>
        <v>0</v>
      </c>
      <c r="O315" s="13">
        <f ca="1"/>
        <v>0</v>
      </c>
      <c r="P315" s="13" t="b">
        <f t="shared" ca="1" si="3"/>
        <v>0</v>
      </c>
      <c r="S315" s="13">
        <v>5</v>
      </c>
      <c r="T315" s="13">
        <f ca="1"/>
        <v>0</v>
      </c>
      <c r="U315" s="13">
        <f ca="1"/>
        <v>0</v>
      </c>
      <c r="V315" s="13">
        <f ca="1"/>
        <v>0</v>
      </c>
      <c r="W315" s="13">
        <f ca="1"/>
        <v>0</v>
      </c>
      <c r="X315" s="13">
        <f ca="1"/>
        <v>0</v>
      </c>
      <c r="Y315" s="13">
        <f ca="1"/>
        <v>0</v>
      </c>
      <c r="Z315" s="13">
        <f ca="1"/>
        <v>0</v>
      </c>
      <c r="AA315" s="13">
        <f ca="1"/>
        <v>0</v>
      </c>
      <c r="AB315" s="13" t="b">
        <f t="shared" ca="1" si="4"/>
        <v>0</v>
      </c>
    </row>
    <row r="316" spans="7:28" x14ac:dyDescent="0.3">
      <c r="G316" s="13">
        <v>6</v>
      </c>
      <c r="H316" s="13">
        <f ca="1"/>
        <v>0</v>
      </c>
      <c r="I316" s="13">
        <f ca="1"/>
        <v>0</v>
      </c>
      <c r="J316" s="13">
        <f ca="1"/>
        <v>0</v>
      </c>
      <c r="K316" s="13">
        <f ca="1"/>
        <v>0</v>
      </c>
      <c r="L316" s="13">
        <f ca="1"/>
        <v>0</v>
      </c>
      <c r="M316" s="13">
        <f ca="1"/>
        <v>0</v>
      </c>
      <c r="N316" s="13">
        <f ca="1"/>
        <v>0</v>
      </c>
      <c r="O316" s="13">
        <f ca="1"/>
        <v>0</v>
      </c>
      <c r="P316" s="13" t="b">
        <f t="shared" ca="1" si="3"/>
        <v>0</v>
      </c>
      <c r="S316" s="13">
        <v>6</v>
      </c>
      <c r="T316" s="13">
        <f ca="1"/>
        <v>0</v>
      </c>
      <c r="U316" s="13">
        <f ca="1"/>
        <v>0</v>
      </c>
      <c r="V316" s="13">
        <f ca="1"/>
        <v>0</v>
      </c>
      <c r="W316" s="13">
        <f ca="1"/>
        <v>0</v>
      </c>
      <c r="X316" s="13">
        <f ca="1"/>
        <v>0</v>
      </c>
      <c r="Y316" s="13">
        <f ca="1"/>
        <v>0</v>
      </c>
      <c r="Z316" s="13">
        <f ca="1"/>
        <v>0</v>
      </c>
      <c r="AA316" s="13">
        <f ca="1"/>
        <v>0</v>
      </c>
      <c r="AB316" s="13" t="b">
        <f t="shared" ca="1" si="4"/>
        <v>0</v>
      </c>
    </row>
    <row r="317" spans="7:28" x14ac:dyDescent="0.3">
      <c r="G317" s="13">
        <v>7</v>
      </c>
      <c r="H317" s="13">
        <f ca="1"/>
        <v>0</v>
      </c>
      <c r="I317" s="13">
        <f ca="1"/>
        <v>0</v>
      </c>
      <c r="J317" s="13">
        <f ca="1"/>
        <v>0</v>
      </c>
      <c r="K317" s="13">
        <f ca="1"/>
        <v>0</v>
      </c>
      <c r="L317" s="13">
        <f ca="1"/>
        <v>0</v>
      </c>
      <c r="M317" s="13">
        <f ca="1"/>
        <v>0</v>
      </c>
      <c r="N317" s="13">
        <f ca="1"/>
        <v>0</v>
      </c>
      <c r="O317" s="13">
        <f ca="1"/>
        <v>0</v>
      </c>
      <c r="P317" s="13" t="b">
        <f t="shared" ca="1" si="3"/>
        <v>0</v>
      </c>
      <c r="S317" s="13">
        <v>7</v>
      </c>
      <c r="T317" s="13">
        <f ca="1"/>
        <v>0</v>
      </c>
      <c r="U317" s="13">
        <f ca="1"/>
        <v>0</v>
      </c>
      <c r="V317" s="13">
        <f ca="1"/>
        <v>0</v>
      </c>
      <c r="W317" s="13">
        <f ca="1"/>
        <v>0</v>
      </c>
      <c r="X317" s="13">
        <f ca="1"/>
        <v>0</v>
      </c>
      <c r="Y317" s="13">
        <f ca="1"/>
        <v>0</v>
      </c>
      <c r="Z317" s="13">
        <f ca="1"/>
        <v>0</v>
      </c>
      <c r="AA317" s="13">
        <f ca="1"/>
        <v>0</v>
      </c>
      <c r="AB317" s="13" t="b">
        <f t="shared" ca="1" si="4"/>
        <v>0</v>
      </c>
    </row>
    <row r="318" spans="7:28" x14ac:dyDescent="0.3">
      <c r="G318" s="13">
        <v>8</v>
      </c>
      <c r="H318" s="13">
        <f ca="1"/>
        <v>0</v>
      </c>
      <c r="I318" s="13">
        <f ca="1"/>
        <v>0</v>
      </c>
      <c r="J318" s="13">
        <f ca="1"/>
        <v>0</v>
      </c>
      <c r="K318" s="13">
        <f ca="1"/>
        <v>0</v>
      </c>
      <c r="L318" s="13">
        <f ca="1"/>
        <v>0</v>
      </c>
      <c r="M318" s="13">
        <f ca="1"/>
        <v>0</v>
      </c>
      <c r="N318" s="13">
        <f ca="1"/>
        <v>0</v>
      </c>
      <c r="O318" s="13">
        <f ca="1"/>
        <v>0</v>
      </c>
      <c r="P318" s="13" t="b">
        <f t="shared" ca="1" si="3"/>
        <v>0</v>
      </c>
      <c r="S318" s="13">
        <v>8</v>
      </c>
      <c r="T318" s="13">
        <f ca="1"/>
        <v>0</v>
      </c>
      <c r="U318" s="13">
        <f ca="1"/>
        <v>0</v>
      </c>
      <c r="V318" s="13">
        <f ca="1"/>
        <v>0</v>
      </c>
      <c r="W318" s="13">
        <f ca="1"/>
        <v>0</v>
      </c>
      <c r="X318" s="13">
        <f ca="1"/>
        <v>0</v>
      </c>
      <c r="Y318" s="13">
        <f ca="1"/>
        <v>0</v>
      </c>
      <c r="Z318" s="13">
        <f ca="1"/>
        <v>0</v>
      </c>
      <c r="AA318" s="13">
        <f ca="1"/>
        <v>0</v>
      </c>
      <c r="AB318" s="13" t="b">
        <f t="shared" ca="1" si="4"/>
        <v>0</v>
      </c>
    </row>
    <row r="319" spans="7:28" x14ac:dyDescent="0.3">
      <c r="G319" s="13">
        <v>9</v>
      </c>
      <c r="H319" s="13">
        <f ca="1"/>
        <v>0</v>
      </c>
      <c r="I319" s="13">
        <f ca="1"/>
        <v>0</v>
      </c>
      <c r="J319" s="13">
        <f ca="1"/>
        <v>0</v>
      </c>
      <c r="K319" s="13">
        <f ca="1"/>
        <v>0</v>
      </c>
      <c r="L319" s="13">
        <f ca="1"/>
        <v>0</v>
      </c>
      <c r="M319" s="13">
        <f ca="1"/>
        <v>0</v>
      </c>
      <c r="N319" s="13">
        <f ca="1"/>
        <v>0</v>
      </c>
      <c r="O319" s="13">
        <f ca="1"/>
        <v>0</v>
      </c>
      <c r="P319" s="13" t="b">
        <f t="shared" ca="1" si="3"/>
        <v>0</v>
      </c>
      <c r="S319" s="13">
        <v>9</v>
      </c>
      <c r="T319" s="13">
        <f ca="1"/>
        <v>0</v>
      </c>
      <c r="U319" s="13">
        <f ca="1"/>
        <v>0</v>
      </c>
      <c r="V319" s="13">
        <f ca="1"/>
        <v>0</v>
      </c>
      <c r="W319" s="13">
        <f ca="1"/>
        <v>0</v>
      </c>
      <c r="X319" s="13">
        <f ca="1"/>
        <v>0</v>
      </c>
      <c r="Y319" s="13">
        <f ca="1"/>
        <v>0</v>
      </c>
      <c r="Z319" s="13">
        <f ca="1"/>
        <v>0</v>
      </c>
      <c r="AA319" s="13">
        <f ca="1"/>
        <v>0</v>
      </c>
      <c r="AB319" s="13" t="b">
        <f t="shared" ca="1" si="4"/>
        <v>0</v>
      </c>
    </row>
    <row r="323" spans="8:21" ht="15" thickBot="1" x14ac:dyDescent="0.35"/>
    <row r="324" spans="8:21" ht="15" thickBot="1" x14ac:dyDescent="0.35">
      <c r="H324" s="34" t="s">
        <v>38</v>
      </c>
      <c r="I324" s="35">
        <f ca="1">MATCH(TRUE,P291:P299,0)</f>
        <v>9</v>
      </c>
      <c r="T324" s="34" t="s">
        <v>38</v>
      </c>
      <c r="U324" s="35">
        <f ca="1">MATCH(TRUE,AB291:AB299,0)</f>
        <v>9</v>
      </c>
    </row>
    <row r="325" spans="8:21" ht="15" thickBot="1" x14ac:dyDescent="0.35">
      <c r="H325" s="34" t="s">
        <v>39</v>
      </c>
      <c r="I325" s="35" t="e">
        <f ca="1">MATCH(TRUE,P311:P319,0)</f>
        <v>#N/A</v>
      </c>
      <c r="T325" s="34" t="s">
        <v>39</v>
      </c>
      <c r="U325" s="35" t="e">
        <f ca="1">MATCH(TRUE,AB311:AB319,0)</f>
        <v>#N/A</v>
      </c>
    </row>
  </sheetData>
  <sheetProtection algorithmName="SHA-512" hashValue="LC5i0nEAgKTm/aMxO6fNGU05gjEOxqbuUxIh6updkZhp+n0A3dpspnrXzaTlJiUViR2LlX+gNn+mGKvWzL7q7w==" saltValue="kPdGQpecy6QAmMeARnlYcA==" spinCount="100000" sheet="1" objects="1" scenarios="1"/>
  <sortState xmlns:xlrd2="http://schemas.microsoft.com/office/spreadsheetml/2017/richdata2" ref="M222:U239">
    <sortCondition ref="M222:M239"/>
  </sortState>
  <mergeCells count="30">
    <mergeCell ref="F195:F196"/>
    <mergeCell ref="H194:H196"/>
    <mergeCell ref="C194:G194"/>
    <mergeCell ref="G195:G196"/>
    <mergeCell ref="C195:C196"/>
    <mergeCell ref="D195:E195"/>
    <mergeCell ref="C217:G217"/>
    <mergeCell ref="H217:H220"/>
    <mergeCell ref="C218:C220"/>
    <mergeCell ref="D218:E218"/>
    <mergeCell ref="F218:F220"/>
    <mergeCell ref="G218:G220"/>
    <mergeCell ref="E219:E220"/>
    <mergeCell ref="A222:A230"/>
    <mergeCell ref="B222:B230"/>
    <mergeCell ref="A231:A239"/>
    <mergeCell ref="B231:B239"/>
    <mergeCell ref="A217:A220"/>
    <mergeCell ref="B217:B221"/>
    <mergeCell ref="H241:H244"/>
    <mergeCell ref="C242:C244"/>
    <mergeCell ref="D242:E242"/>
    <mergeCell ref="F242:F244"/>
    <mergeCell ref="G242:G244"/>
    <mergeCell ref="E243:E244"/>
    <mergeCell ref="A246:A254"/>
    <mergeCell ref="B246:B254"/>
    <mergeCell ref="A241:A244"/>
    <mergeCell ref="B241:B245"/>
    <mergeCell ref="C241:G24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Accueil</vt:lpstr>
      <vt:lpstr>Gamme ThemaFast</vt:lpstr>
      <vt:lpstr>Gamme ThemaPlus</vt:lpstr>
      <vt:lpstr>Gamme IsoTwin</vt:lpstr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Daviaud, Stephane</cp:lastModifiedBy>
  <cp:lastPrinted>2026-01-14T15:28:49Z</cp:lastPrinted>
  <dcterms:created xsi:type="dcterms:W3CDTF">2025-10-24T10:22:31Z</dcterms:created>
  <dcterms:modified xsi:type="dcterms:W3CDTF">2026-03-17T15:59:55Z</dcterms:modified>
</cp:coreProperties>
</file>